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0" yWindow="0" windowWidth="20490" windowHeight="7545" tabRatio="923"/>
  </bookViews>
  <sheets>
    <sheet name="ORÇAMENTO" sheetId="1" r:id="rId1"/>
    <sheet name="MEMORIAL DE CALCULO" sheetId="2" r:id="rId2"/>
    <sheet name="CRONOGRAMA CIVIL" sheetId="3" r:id="rId3"/>
    <sheet name="CRONOGRAMA EQUIP." sheetId="4" r:id="rId4"/>
    <sheet name="COMP. GERAL" sheetId="5" r:id="rId5"/>
    <sheet name="COMP. ELÉTRICA" sheetId="6" r:id="rId6"/>
    <sheet name="CURVA ABC - CIVIL" sheetId="11" r:id="rId7"/>
    <sheet name="CURVA ABC - EQUIP." sheetId="12" r:id="rId8"/>
    <sheet name="COTAÇÕES ESQUADRIAS" sheetId="7" r:id="rId9"/>
    <sheet name="COTAÇÃO CIVIL" sheetId="8" r:id="rId10"/>
    <sheet name="COTAÇÃO SINALIZAÇÃO" sheetId="9" r:id="rId11"/>
    <sheet name="COTAÇÕES EQUIPAMENTOS" sheetId="10" r:id="rId12"/>
  </sheets>
  <definedNames>
    <definedName name="__xlfn_AGGREGATE">NA()</definedName>
    <definedName name="__xlfn_IFERROR">NA()</definedName>
    <definedName name="_xlnm.Print_Area" localSheetId="5">'COMP. ELÉTRICA'!$A$1:$F$323</definedName>
    <definedName name="_xlnm.Print_Area" localSheetId="4">'COMP. GERAL'!$A$1:$F$200</definedName>
    <definedName name="_xlnm.Print_Area" localSheetId="9">'COTAÇÃO CIVIL'!$A$1:$H$44</definedName>
    <definedName name="_xlnm.Print_Area" localSheetId="11">'COTAÇÕES EQUIPAMENTOS'!$A$1:$H$91</definedName>
    <definedName name="_xlnm.Print_Area" localSheetId="8">'COTAÇÕES ESQUADRIAS'!$A$1:$H$6</definedName>
    <definedName name="_xlnm.Print_Area" localSheetId="2">'CRONOGRAMA CIVIL'!$B$2:$O$104</definedName>
    <definedName name="_xlnm.Print_Area" localSheetId="3">'CRONOGRAMA EQUIP.'!$B$2:$O$29</definedName>
    <definedName name="_xlnm.Print_Area" localSheetId="6">'CURVA ABC - CIVIL'!$A$1:$M$610</definedName>
    <definedName name="_xlnm.Print_Area" localSheetId="7">'CURVA ABC - EQUIP.'!$A$1:$L$30</definedName>
    <definedName name="_xlnm.Print_Area" localSheetId="1">'MEMORIAL DE CALCULO'!$A$1:$O$3212</definedName>
    <definedName name="_xlnm.Print_Area" localSheetId="0">ORÇAMENTO!$A$1:$K$688,ORÇAMENTO!$A$691:$K$735</definedName>
    <definedName name="Excel_BuiltIn_Print_Area" localSheetId="6">'CURVA ABC - CIVIL'!$A$1:$J$689</definedName>
    <definedName name="Excel_BuiltIn_Print_Area" localSheetId="7">'CURVA ABC - EQUIP.'!$A$1:$I$108</definedName>
    <definedName name="Excel_BuiltIn_Print_Area" localSheetId="0">ORÇAMENTO!$A$1:$J$814</definedName>
    <definedName name="_xlnm.Print_Titles" localSheetId="5">'COMP. ELÉTRICA'!$1:$1</definedName>
    <definedName name="_xlnm.Print_Titles" localSheetId="4">'COMP. GERAL'!$1:$1</definedName>
    <definedName name="_xlnm.Print_Titles" localSheetId="2">'CRONOGRAMA CIVIL'!$2:$7</definedName>
    <definedName name="_xlnm.Print_Titles" localSheetId="6">'CURVA ABC - CIVIL'!$1:$1</definedName>
    <definedName name="_xlnm.Print_Titles" localSheetId="7">'CURVA ABC - EQUIP.'!$1:$1</definedName>
    <definedName name="_xlnm.Print_Titles" localSheetId="1">'MEMORIAL DE CALCULO'!$1:$6</definedName>
    <definedName name="_xlnm.Print_Titles" localSheetId="0">ORÇAMENTO!$1:$10</definedName>
  </definedNames>
  <calcPr calcId="125725"/>
</workbook>
</file>

<file path=xl/calcChain.xml><?xml version="1.0" encoding="utf-8"?>
<calcChain xmlns="http://schemas.openxmlformats.org/spreadsheetml/2006/main">
  <c r="I6" i="1"/>
  <c r="H728" s="1"/>
  <c r="I5"/>
  <c r="H74" s="1"/>
  <c r="H240" l="1"/>
  <c r="H318"/>
  <c r="H164"/>
  <c r="H309"/>
  <c r="H204"/>
  <c r="H123"/>
  <c r="H265"/>
  <c r="H392"/>
  <c r="H139"/>
  <c r="H252"/>
  <c r="H282"/>
  <c r="H349"/>
  <c r="H498"/>
  <c r="H621"/>
  <c r="H143"/>
  <c r="H187"/>
  <c r="H217"/>
  <c r="H256"/>
  <c r="H286"/>
  <c r="H334"/>
  <c r="H353"/>
  <c r="H417"/>
  <c r="H467"/>
  <c r="H544"/>
  <c r="H604"/>
  <c r="H675"/>
  <c r="H196"/>
  <c r="H260"/>
  <c r="H330"/>
  <c r="H401"/>
  <c r="H575"/>
  <c r="H133"/>
  <c r="H170"/>
  <c r="H200"/>
  <c r="H236"/>
  <c r="H261"/>
  <c r="H305"/>
  <c r="H365"/>
  <c r="H376"/>
  <c r="H449"/>
  <c r="H521"/>
  <c r="H591"/>
  <c r="H661"/>
  <c r="H428"/>
  <c r="H516"/>
  <c r="H559"/>
  <c r="H643"/>
  <c r="H388"/>
  <c r="H372"/>
  <c r="H413"/>
  <c r="H440"/>
  <c r="H424"/>
  <c r="H479"/>
  <c r="H463"/>
  <c r="H494"/>
  <c r="H512"/>
  <c r="H524"/>
  <c r="H540"/>
  <c r="H571"/>
  <c r="H555"/>
  <c r="H587"/>
  <c r="H600"/>
  <c r="H626"/>
  <c r="H646"/>
  <c r="H667"/>
  <c r="H127"/>
  <c r="H148"/>
  <c r="H152"/>
  <c r="H182"/>
  <c r="H208"/>
  <c r="H221"/>
  <c r="H244"/>
  <c r="H228"/>
  <c r="H269"/>
  <c r="H290"/>
  <c r="H313"/>
  <c r="H338"/>
  <c r="H322"/>
  <c r="H357"/>
  <c r="H396"/>
  <c r="H380"/>
  <c r="H421"/>
  <c r="H405"/>
  <c r="H432"/>
  <c r="H453"/>
  <c r="H471"/>
  <c r="H481"/>
  <c r="H486"/>
  <c r="H504"/>
  <c r="H548"/>
  <c r="H532"/>
  <c r="H563"/>
  <c r="H595"/>
  <c r="H579"/>
  <c r="H613"/>
  <c r="H636"/>
  <c r="H658"/>
  <c r="H679"/>
  <c r="H137"/>
  <c r="H156"/>
  <c r="H174"/>
  <c r="H192"/>
  <c r="H225"/>
  <c r="H248"/>
  <c r="H232"/>
  <c r="H273"/>
  <c r="H294"/>
  <c r="H278"/>
  <c r="H301"/>
  <c r="H326"/>
  <c r="H361"/>
  <c r="H345"/>
  <c r="H384"/>
  <c r="H368"/>
  <c r="H409"/>
  <c r="H436"/>
  <c r="H443"/>
  <c r="H475"/>
  <c r="H459"/>
  <c r="H490"/>
  <c r="H508"/>
  <c r="H552"/>
  <c r="H536"/>
  <c r="H567"/>
  <c r="H599"/>
  <c r="H583"/>
  <c r="H617"/>
  <c r="H622"/>
  <c r="H649"/>
  <c r="H663"/>
  <c r="H128"/>
  <c r="H124"/>
  <c r="H134"/>
  <c r="H138"/>
  <c r="H149"/>
  <c r="H145"/>
  <c r="H140"/>
  <c r="H157"/>
  <c r="H153"/>
  <c r="H165"/>
  <c r="H171"/>
  <c r="H175"/>
  <c r="H178"/>
  <c r="H183"/>
  <c r="H191"/>
  <c r="H193"/>
  <c r="H209"/>
  <c r="H205"/>
  <c r="H201"/>
  <c r="H226"/>
  <c r="H222"/>
  <c r="H218"/>
  <c r="H214"/>
  <c r="H249"/>
  <c r="H245"/>
  <c r="H241"/>
  <c r="H237"/>
  <c r="H233"/>
  <c r="H229"/>
  <c r="H257"/>
  <c r="H253"/>
  <c r="H274"/>
  <c r="H270"/>
  <c r="H266"/>
  <c r="H262"/>
  <c r="H295"/>
  <c r="H291"/>
  <c r="H287"/>
  <c r="H283"/>
  <c r="H279"/>
  <c r="H314"/>
  <c r="H310"/>
  <c r="H306"/>
  <c r="H302"/>
  <c r="H339"/>
  <c r="H335"/>
  <c r="H331"/>
  <c r="H327"/>
  <c r="H323"/>
  <c r="H319"/>
  <c r="H366"/>
  <c r="H362"/>
  <c r="H358"/>
  <c r="H354"/>
  <c r="H350"/>
  <c r="H346"/>
  <c r="H397"/>
  <c r="H393"/>
  <c r="H389"/>
  <c r="H385"/>
  <c r="H381"/>
  <c r="H377"/>
  <c r="H373"/>
  <c r="H369"/>
  <c r="H422"/>
  <c r="H418"/>
  <c r="H414"/>
  <c r="H410"/>
  <c r="H406"/>
  <c r="H402"/>
  <c r="H441"/>
  <c r="H437"/>
  <c r="H433"/>
  <c r="H429"/>
  <c r="H425"/>
  <c r="H444"/>
  <c r="H454"/>
  <c r="H450"/>
  <c r="H480"/>
  <c r="H476"/>
  <c r="H472"/>
  <c r="H468"/>
  <c r="H464"/>
  <c r="H460"/>
  <c r="H482"/>
  <c r="H499"/>
  <c r="H495"/>
  <c r="H491"/>
  <c r="H487"/>
  <c r="H517"/>
  <c r="H513"/>
  <c r="H509"/>
  <c r="H505"/>
  <c r="H501"/>
  <c r="H525"/>
  <c r="H529"/>
  <c r="H549"/>
  <c r="H545"/>
  <c r="H541"/>
  <c r="H537"/>
  <c r="H533"/>
  <c r="H576"/>
  <c r="H572"/>
  <c r="H568"/>
  <c r="H564"/>
  <c r="H560"/>
  <c r="H556"/>
  <c r="H578"/>
  <c r="H596"/>
  <c r="H592"/>
  <c r="H588"/>
  <c r="H584"/>
  <c r="H580"/>
  <c r="H605"/>
  <c r="H601"/>
  <c r="H618"/>
  <c r="H614"/>
  <c r="H610"/>
  <c r="H627"/>
  <c r="H623"/>
  <c r="H632"/>
  <c r="H644"/>
  <c r="H640"/>
  <c r="H650"/>
  <c r="H654"/>
  <c r="H655"/>
  <c r="H668"/>
  <c r="H664"/>
  <c r="H680"/>
  <c r="H676"/>
  <c r="H682"/>
  <c r="H125"/>
  <c r="H135"/>
  <c r="H131"/>
  <c r="H151"/>
  <c r="H146"/>
  <c r="H141"/>
  <c r="H158"/>
  <c r="H154"/>
  <c r="H166"/>
  <c r="H168"/>
  <c r="H173"/>
  <c r="H179"/>
  <c r="H184"/>
  <c r="H188"/>
  <c r="H194"/>
  <c r="H210"/>
  <c r="H206"/>
  <c r="H202"/>
  <c r="H213"/>
  <c r="H223"/>
  <c r="H219"/>
  <c r="H215"/>
  <c r="H250"/>
  <c r="H246"/>
  <c r="H242"/>
  <c r="H238"/>
  <c r="H234"/>
  <c r="H230"/>
  <c r="H258"/>
  <c r="H254"/>
  <c r="H275"/>
  <c r="H271"/>
  <c r="H267"/>
  <c r="H263"/>
  <c r="H296"/>
  <c r="H292"/>
  <c r="H288"/>
  <c r="H284"/>
  <c r="H280"/>
  <c r="H299"/>
  <c r="H311"/>
  <c r="H307"/>
  <c r="H303"/>
  <c r="H316"/>
  <c r="H336"/>
  <c r="H332"/>
  <c r="H328"/>
  <c r="H324"/>
  <c r="H320"/>
  <c r="H342"/>
  <c r="H363"/>
  <c r="H359"/>
  <c r="H355"/>
  <c r="H351"/>
  <c r="H347"/>
  <c r="H343"/>
  <c r="H394"/>
  <c r="H390"/>
  <c r="H386"/>
  <c r="H382"/>
  <c r="H378"/>
  <c r="H374"/>
  <c r="H370"/>
  <c r="H399"/>
  <c r="H419"/>
  <c r="H415"/>
  <c r="H411"/>
  <c r="H407"/>
  <c r="H403"/>
  <c r="H442"/>
  <c r="H438"/>
  <c r="H434"/>
  <c r="H430"/>
  <c r="H426"/>
  <c r="H445"/>
  <c r="H455"/>
  <c r="H451"/>
  <c r="H457"/>
  <c r="H477"/>
  <c r="H473"/>
  <c r="H469"/>
  <c r="H465"/>
  <c r="H461"/>
  <c r="H483"/>
  <c r="H500"/>
  <c r="H496"/>
  <c r="H492"/>
  <c r="H488"/>
  <c r="H518"/>
  <c r="H514"/>
  <c r="H510"/>
  <c r="H506"/>
  <c r="H502"/>
  <c r="H526"/>
  <c r="H522"/>
  <c r="H550"/>
  <c r="H546"/>
  <c r="H542"/>
  <c r="H538"/>
  <c r="H534"/>
  <c r="H530"/>
  <c r="H573"/>
  <c r="H569"/>
  <c r="H565"/>
  <c r="H561"/>
  <c r="H557"/>
  <c r="H553"/>
  <c r="H597"/>
  <c r="H593"/>
  <c r="H589"/>
  <c r="H585"/>
  <c r="H581"/>
  <c r="H606"/>
  <c r="H602"/>
  <c r="H619"/>
  <c r="H615"/>
  <c r="H611"/>
  <c r="H628"/>
  <c r="H624"/>
  <c r="H633"/>
  <c r="H639"/>
  <c r="H641"/>
  <c r="H651"/>
  <c r="H647"/>
  <c r="H656"/>
  <c r="H669"/>
  <c r="H665"/>
  <c r="H672"/>
  <c r="H677"/>
  <c r="H673"/>
  <c r="H126"/>
  <c r="H130"/>
  <c r="H132"/>
  <c r="H136"/>
  <c r="H147"/>
  <c r="H142"/>
  <c r="H159"/>
  <c r="H155"/>
  <c r="H162"/>
  <c r="H163"/>
  <c r="H169"/>
  <c r="H177"/>
  <c r="H185"/>
  <c r="H189"/>
  <c r="H195"/>
  <c r="H198"/>
  <c r="H207"/>
  <c r="H203"/>
  <c r="H199"/>
  <c r="H224"/>
  <c r="H220"/>
  <c r="H216"/>
  <c r="H251"/>
  <c r="H247"/>
  <c r="H243"/>
  <c r="H239"/>
  <c r="H235"/>
  <c r="H231"/>
  <c r="H227"/>
  <c r="H255"/>
  <c r="H276"/>
  <c r="H272"/>
  <c r="H268"/>
  <c r="H264"/>
  <c r="H297"/>
  <c r="H293"/>
  <c r="H289"/>
  <c r="H285"/>
  <c r="H281"/>
  <c r="H277"/>
  <c r="H312"/>
  <c r="H308"/>
  <c r="H304"/>
  <c r="H300"/>
  <c r="H337"/>
  <c r="H333"/>
  <c r="H329"/>
  <c r="H325"/>
  <c r="H321"/>
  <c r="H317"/>
  <c r="H364"/>
  <c r="H360"/>
  <c r="H356"/>
  <c r="H352"/>
  <c r="H348"/>
  <c r="H344"/>
  <c r="H395"/>
  <c r="H391"/>
  <c r="H387"/>
  <c r="H383"/>
  <c r="H379"/>
  <c r="H375"/>
  <c r="H371"/>
  <c r="H367"/>
  <c r="H420"/>
  <c r="H416"/>
  <c r="H412"/>
  <c r="H408"/>
  <c r="H404"/>
  <c r="H400"/>
  <c r="H439"/>
  <c r="H435"/>
  <c r="H431"/>
  <c r="H427"/>
  <c r="H423"/>
  <c r="H447"/>
  <c r="H452"/>
  <c r="H448"/>
  <c r="H478"/>
  <c r="H474"/>
  <c r="H470"/>
  <c r="H466"/>
  <c r="H462"/>
  <c r="H458"/>
  <c r="H485"/>
  <c r="H497"/>
  <c r="H493"/>
  <c r="H489"/>
  <c r="H519"/>
  <c r="H515"/>
  <c r="H511"/>
  <c r="H507"/>
  <c r="H503"/>
  <c r="H527"/>
  <c r="H523"/>
  <c r="H551"/>
  <c r="H547"/>
  <c r="H543"/>
  <c r="H539"/>
  <c r="H535"/>
  <c r="H531"/>
  <c r="H574"/>
  <c r="H570"/>
  <c r="H566"/>
  <c r="H562"/>
  <c r="H558"/>
  <c r="H554"/>
  <c r="H598"/>
  <c r="H594"/>
  <c r="H590"/>
  <c r="H586"/>
  <c r="H582"/>
  <c r="H607"/>
  <c r="H603"/>
  <c r="H609"/>
  <c r="H616"/>
  <c r="H612"/>
  <c r="H629"/>
  <c r="H625"/>
  <c r="H631"/>
  <c r="H637"/>
  <c r="H642"/>
  <c r="H652"/>
  <c r="H648"/>
  <c r="H657"/>
  <c r="H670"/>
  <c r="H666"/>
  <c r="H662"/>
  <c r="H678"/>
  <c r="H674"/>
  <c r="H715"/>
  <c r="H721"/>
  <c r="H719"/>
  <c r="H722"/>
  <c r="H698"/>
  <c r="H707"/>
  <c r="H694"/>
  <c r="H711"/>
  <c r="H699"/>
  <c r="H705"/>
  <c r="H716"/>
  <c r="H712"/>
  <c r="H708"/>
  <c r="H723"/>
  <c r="H726"/>
  <c r="H700"/>
  <c r="H702"/>
  <c r="H717"/>
  <c r="H713"/>
  <c r="H709"/>
  <c r="H724"/>
  <c r="H720"/>
  <c r="H696"/>
  <c r="H697"/>
  <c r="H718"/>
  <c r="H714"/>
  <c r="H710"/>
  <c r="H706"/>
  <c r="H95"/>
  <c r="K14" i="11"/>
  <c r="K36"/>
  <c r="K46"/>
  <c r="K51"/>
  <c r="K29"/>
  <c r="K65"/>
  <c r="K15"/>
  <c r="K448"/>
  <c r="K449"/>
  <c r="K149"/>
  <c r="K136"/>
  <c r="K253"/>
  <c r="K365"/>
  <c r="K325"/>
  <c r="K259"/>
  <c r="K70"/>
  <c r="K90"/>
  <c r="K72"/>
  <c r="K133"/>
  <c r="K121"/>
  <c r="K277"/>
  <c r="K286"/>
  <c r="K212"/>
  <c r="K207"/>
  <c r="K97"/>
  <c r="K117"/>
  <c r="K195"/>
  <c r="K109"/>
  <c r="K53"/>
  <c r="K156"/>
  <c r="K61"/>
  <c r="K87"/>
  <c r="K52"/>
  <c r="K18"/>
  <c r="K21"/>
  <c r="K492"/>
  <c r="K272"/>
  <c r="K315"/>
  <c r="K227"/>
  <c r="K58"/>
  <c r="K214"/>
  <c r="K106"/>
  <c r="K3"/>
  <c r="K84"/>
  <c r="K17"/>
  <c r="K73"/>
  <c r="K34"/>
  <c r="K161"/>
  <c r="K151"/>
  <c r="K75"/>
  <c r="K24"/>
  <c r="K119"/>
  <c r="K108"/>
  <c r="K250"/>
  <c r="K125"/>
  <c r="K162"/>
  <c r="K205"/>
  <c r="K27"/>
  <c r="K2"/>
  <c r="L2" s="1"/>
  <c r="K16"/>
  <c r="K82"/>
  <c r="K107"/>
  <c r="K124"/>
  <c r="K55"/>
  <c r="K88"/>
  <c r="K80"/>
  <c r="K305"/>
  <c r="K445"/>
  <c r="K66"/>
  <c r="K115"/>
  <c r="K91"/>
  <c r="K99"/>
  <c r="K8"/>
  <c r="K35"/>
  <c r="K131"/>
  <c r="K78"/>
  <c r="K10"/>
  <c r="K251"/>
  <c r="K5"/>
  <c r="K194"/>
  <c r="K221"/>
  <c r="K158"/>
  <c r="K346"/>
  <c r="K274"/>
  <c r="K102"/>
  <c r="K113"/>
  <c r="K224"/>
  <c r="K63"/>
  <c r="K85"/>
  <c r="K284"/>
  <c r="K50"/>
  <c r="K139"/>
  <c r="K132"/>
  <c r="K208"/>
  <c r="K271"/>
  <c r="K247"/>
  <c r="K44"/>
  <c r="K67"/>
  <c r="K168"/>
  <c r="K12"/>
  <c r="K37"/>
  <c r="K129"/>
  <c r="K45"/>
  <c r="K112"/>
  <c r="K174"/>
  <c r="K228"/>
  <c r="K135"/>
  <c r="K275"/>
  <c r="K4"/>
  <c r="K371"/>
  <c r="K380"/>
  <c r="K100"/>
  <c r="K38"/>
  <c r="K192"/>
  <c r="K146"/>
  <c r="K130"/>
  <c r="K263"/>
  <c r="K22"/>
  <c r="K200"/>
  <c r="K257"/>
  <c r="K49"/>
  <c r="K104"/>
  <c r="K79"/>
  <c r="K28"/>
  <c r="K9"/>
  <c r="K187"/>
  <c r="K177"/>
  <c r="K30"/>
  <c r="K81"/>
  <c r="K145"/>
  <c r="K166"/>
  <c r="K175"/>
  <c r="K287"/>
  <c r="K40"/>
  <c r="K32"/>
  <c r="K23"/>
  <c r="K197"/>
  <c r="K98"/>
  <c r="K42"/>
  <c r="K39"/>
  <c r="K11"/>
  <c r="K43"/>
  <c r="K190"/>
  <c r="K7"/>
  <c r="K68"/>
  <c r="K47"/>
  <c r="K134"/>
  <c r="K19"/>
  <c r="K95"/>
  <c r="K60"/>
  <c r="K164"/>
  <c r="K76"/>
  <c r="K254"/>
  <c r="K317"/>
  <c r="K577"/>
  <c r="K546"/>
  <c r="K506"/>
  <c r="K478"/>
  <c r="K71"/>
  <c r="K498"/>
  <c r="K33"/>
  <c r="K120"/>
  <c r="K288"/>
  <c r="K329"/>
  <c r="K568"/>
  <c r="K508"/>
  <c r="K497"/>
  <c r="K544"/>
  <c r="K313"/>
  <c r="K376"/>
  <c r="K475"/>
  <c r="K500"/>
  <c r="K519"/>
  <c r="K512"/>
  <c r="K372"/>
  <c r="K418"/>
  <c r="K379"/>
  <c r="K451"/>
  <c r="K269"/>
  <c r="K527"/>
  <c r="K415"/>
  <c r="K482"/>
  <c r="K521"/>
  <c r="K524"/>
  <c r="K548"/>
  <c r="K494"/>
  <c r="K502"/>
  <c r="K420"/>
  <c r="K206"/>
  <c r="K407"/>
  <c r="K462"/>
  <c r="K509"/>
  <c r="K520"/>
  <c r="K569"/>
  <c r="K472"/>
  <c r="K505"/>
  <c r="K484"/>
  <c r="K501"/>
  <c r="K401"/>
  <c r="K421"/>
  <c r="K529"/>
  <c r="K116"/>
  <c r="K215"/>
  <c r="K318"/>
  <c r="K336"/>
  <c r="K303"/>
  <c r="K232"/>
  <c r="K138"/>
  <c r="K411"/>
  <c r="K473"/>
  <c r="K377"/>
  <c r="K586"/>
  <c r="K330"/>
  <c r="K495"/>
  <c r="K419"/>
  <c r="K391"/>
  <c r="K236"/>
  <c r="K537"/>
  <c r="K493"/>
  <c r="K452"/>
  <c r="K534"/>
  <c r="K354"/>
  <c r="K483"/>
  <c r="K579"/>
  <c r="K182"/>
  <c r="K504"/>
  <c r="K541"/>
  <c r="K564"/>
  <c r="K499"/>
  <c r="K441"/>
  <c r="K211"/>
  <c r="K144"/>
  <c r="K427"/>
  <c r="K64"/>
  <c r="K201"/>
  <c r="K290"/>
  <c r="K335"/>
  <c r="K276"/>
  <c r="K77"/>
  <c r="K480"/>
  <c r="K435"/>
  <c r="K426"/>
  <c r="K143"/>
  <c r="K193"/>
  <c r="K59"/>
  <c r="K218"/>
  <c r="K412"/>
  <c r="K398"/>
  <c r="K417"/>
  <c r="K306"/>
  <c r="K165"/>
  <c r="K393"/>
  <c r="K141"/>
  <c r="K322"/>
  <c r="K183"/>
  <c r="K226"/>
  <c r="K246"/>
  <c r="K340"/>
  <c r="K96"/>
  <c r="K425"/>
  <c r="K356"/>
  <c r="K233"/>
  <c r="K283"/>
  <c r="K429"/>
  <c r="K260"/>
  <c r="K491"/>
  <c r="K62"/>
  <c r="K189"/>
  <c r="K368"/>
  <c r="K238"/>
  <c r="K244"/>
  <c r="K256"/>
  <c r="K270"/>
  <c r="K352"/>
  <c r="K294"/>
  <c r="K181"/>
  <c r="K159"/>
  <c r="K428"/>
  <c r="K349"/>
  <c r="K392"/>
  <c r="K461"/>
  <c r="K397"/>
  <c r="K410"/>
  <c r="K324"/>
  <c r="K570"/>
  <c r="K198"/>
  <c r="K69"/>
  <c r="K25"/>
  <c r="K331"/>
  <c r="K312"/>
  <c r="K26"/>
  <c r="K171"/>
  <c r="K204"/>
  <c r="K142"/>
  <c r="K196"/>
  <c r="K460"/>
  <c r="K436"/>
  <c r="K487"/>
  <c r="K465"/>
  <c r="K447"/>
  <c r="K239"/>
  <c r="K178"/>
  <c r="K237"/>
  <c r="K311"/>
  <c r="K240"/>
  <c r="K552"/>
  <c r="K309"/>
  <c r="K386"/>
  <c r="K488"/>
  <c r="K442"/>
  <c r="K363"/>
  <c r="K453"/>
  <c r="K173"/>
  <c r="K316"/>
  <c r="K440"/>
  <c r="K373"/>
  <c r="K400"/>
  <c r="K587"/>
  <c r="K439"/>
  <c r="K573"/>
  <c r="K517"/>
  <c r="K535"/>
  <c r="K602"/>
  <c r="K518"/>
  <c r="K516"/>
  <c r="K455"/>
  <c r="K545"/>
  <c r="K600"/>
  <c r="K409"/>
  <c r="K604"/>
  <c r="K300"/>
  <c r="K469"/>
  <c r="K490"/>
  <c r="K562"/>
  <c r="K593"/>
  <c r="K583"/>
  <c r="K536"/>
  <c r="K399"/>
  <c r="K481"/>
  <c r="K572"/>
  <c r="K576"/>
  <c r="K514"/>
  <c r="K264"/>
  <c r="K123"/>
  <c r="K248"/>
  <c r="K153"/>
  <c r="K390"/>
  <c r="K339"/>
  <c r="K539"/>
  <c r="K219"/>
  <c r="K526"/>
  <c r="K326"/>
  <c r="K359"/>
  <c r="K404"/>
  <c r="K360"/>
  <c r="K184"/>
  <c r="K243"/>
  <c r="K598"/>
  <c r="K523"/>
  <c r="K456"/>
  <c r="K555"/>
  <c r="K574"/>
  <c r="K589"/>
  <c r="K588"/>
  <c r="K513"/>
  <c r="K563"/>
  <c r="K525"/>
  <c r="K382"/>
  <c r="K402"/>
  <c r="K594"/>
  <c r="K507"/>
  <c r="K297"/>
  <c r="K474"/>
  <c r="K203"/>
  <c r="K532"/>
  <c r="K347"/>
  <c r="K566"/>
  <c r="K580"/>
  <c r="K229"/>
  <c r="K496"/>
  <c r="K479"/>
  <c r="K596"/>
  <c r="K601"/>
  <c r="K41"/>
  <c r="K152"/>
  <c r="K431"/>
  <c r="K127"/>
  <c r="K122"/>
  <c r="K396"/>
  <c r="K230"/>
  <c r="K430"/>
  <c r="K581"/>
  <c r="K584"/>
  <c r="K531"/>
  <c r="K557"/>
  <c r="K551"/>
  <c r="K202"/>
  <c r="K179"/>
  <c r="K323"/>
  <c r="K464"/>
  <c r="K476"/>
  <c r="K307"/>
  <c r="K466"/>
  <c r="K438"/>
  <c r="K328"/>
  <c r="K450"/>
  <c r="K332"/>
  <c r="K575"/>
  <c r="K217"/>
  <c r="K310"/>
  <c r="K471"/>
  <c r="K528"/>
  <c r="K296"/>
  <c r="K408"/>
  <c r="K477"/>
  <c r="K538"/>
  <c r="K83"/>
  <c r="K74"/>
  <c r="K554"/>
  <c r="K543"/>
  <c r="K261"/>
  <c r="K362"/>
  <c r="K92"/>
  <c r="K54"/>
  <c r="K348"/>
  <c r="K140"/>
  <c r="K467"/>
  <c r="K252"/>
  <c r="K374"/>
  <c r="K321"/>
  <c r="K298"/>
  <c r="K319"/>
  <c r="K414"/>
  <c r="K437"/>
  <c r="K245"/>
  <c r="K550"/>
  <c r="K432"/>
  <c r="K384"/>
  <c r="K150"/>
  <c r="K299"/>
  <c r="K433"/>
  <c r="K485"/>
  <c r="K424"/>
  <c r="K578"/>
  <c r="K549"/>
  <c r="K459"/>
  <c r="K147"/>
  <c r="K89"/>
  <c r="K540"/>
  <c r="K565"/>
  <c r="K595"/>
  <c r="K406"/>
  <c r="K267"/>
  <c r="K114"/>
  <c r="K57"/>
  <c r="K366"/>
  <c r="K364"/>
  <c r="K56"/>
  <c r="K93"/>
  <c r="K367"/>
  <c r="K235"/>
  <c r="K223"/>
  <c r="K383"/>
  <c r="K369"/>
  <c r="K103"/>
  <c r="K394"/>
  <c r="K265"/>
  <c r="K405"/>
  <c r="K343"/>
  <c r="K180"/>
  <c r="K345"/>
  <c r="K231"/>
  <c r="K266"/>
  <c r="K358"/>
  <c r="K169"/>
  <c r="K423"/>
  <c r="K444"/>
  <c r="K597"/>
  <c r="K291"/>
  <c r="K86"/>
  <c r="K342"/>
  <c r="K188"/>
  <c r="K148"/>
  <c r="K607"/>
  <c r="K605"/>
  <c r="K157"/>
  <c r="K403"/>
  <c r="K457"/>
  <c r="K592"/>
  <c r="K327"/>
  <c r="K556"/>
  <c r="K585"/>
  <c r="K567"/>
  <c r="K167"/>
  <c r="K608"/>
  <c r="K101"/>
  <c r="K381"/>
  <c r="K454"/>
  <c r="K351"/>
  <c r="K378"/>
  <c r="K355"/>
  <c r="K334"/>
  <c r="K413"/>
  <c r="K446"/>
  <c r="K302"/>
  <c r="K468"/>
  <c r="K510"/>
  <c r="K553"/>
  <c r="K338"/>
  <c r="K503"/>
  <c r="K416"/>
  <c r="K20"/>
  <c r="K281"/>
  <c r="K582"/>
  <c r="K353"/>
  <c r="K241"/>
  <c r="K522"/>
  <c r="K225"/>
  <c r="K344"/>
  <c r="K375"/>
  <c r="K48"/>
  <c r="K314"/>
  <c r="K547"/>
  <c r="K304"/>
  <c r="K486"/>
  <c r="K361"/>
  <c r="K463"/>
  <c r="K160"/>
  <c r="K216"/>
  <c r="K434"/>
  <c r="K333"/>
  <c r="K561"/>
  <c r="K590"/>
  <c r="K606"/>
  <c r="K609"/>
  <c r="K385"/>
  <c r="K542"/>
  <c r="K571"/>
  <c r="K599"/>
  <c r="K278"/>
  <c r="K210"/>
  <c r="K591"/>
  <c r="K258"/>
  <c r="K603"/>
  <c r="K234"/>
  <c r="K262"/>
  <c r="K357"/>
  <c r="K199"/>
  <c r="K176"/>
  <c r="K443"/>
  <c r="K470"/>
  <c r="K31"/>
  <c r="K337"/>
  <c r="K137"/>
  <c r="K220"/>
  <c r="K292"/>
  <c r="K558"/>
  <c r="K530"/>
  <c r="K515"/>
  <c r="K308"/>
  <c r="K560"/>
  <c r="K610"/>
  <c r="K559"/>
  <c r="K422"/>
  <c r="K511"/>
  <c r="K209"/>
  <c r="K458"/>
  <c r="K191"/>
  <c r="K111"/>
  <c r="K154"/>
  <c r="K186"/>
  <c r="K255"/>
  <c r="K320"/>
  <c r="K170"/>
  <c r="K222"/>
  <c r="K118"/>
  <c r="K388"/>
  <c r="K389"/>
  <c r="K387"/>
  <c r="K13"/>
  <c r="K163"/>
  <c r="K105"/>
  <c r="K295"/>
  <c r="K126"/>
  <c r="K242"/>
  <c r="K282"/>
  <c r="K249"/>
  <c r="K350"/>
  <c r="K94"/>
  <c r="K273"/>
  <c r="K301"/>
  <c r="K172"/>
  <c r="K268"/>
  <c r="K155"/>
  <c r="K370"/>
  <c r="K293"/>
  <c r="K110"/>
  <c r="K395"/>
  <c r="K285"/>
  <c r="K289"/>
  <c r="K489"/>
  <c r="K533"/>
  <c r="K341"/>
  <c r="K279"/>
  <c r="K280"/>
  <c r="K213"/>
  <c r="K185"/>
  <c r="K128"/>
  <c r="K6"/>
  <c r="G4" i="12"/>
  <c r="A16"/>
  <c r="G29"/>
  <c r="A29"/>
  <c r="G28"/>
  <c r="A28"/>
  <c r="G27"/>
  <c r="G14"/>
  <c r="A14"/>
  <c r="G25"/>
  <c r="G18"/>
  <c r="G2"/>
  <c r="A9"/>
  <c r="G22"/>
  <c r="A22"/>
  <c r="G20"/>
  <c r="G17"/>
  <c r="A17"/>
  <c r="G21"/>
  <c r="G26"/>
  <c r="G24"/>
  <c r="G23"/>
  <c r="G10"/>
  <c r="G19"/>
  <c r="E19"/>
  <c r="H19" s="1"/>
  <c r="G30"/>
  <c r="A5"/>
  <c r="G12"/>
  <c r="G8"/>
  <c r="G6"/>
  <c r="G13"/>
  <c r="G3"/>
  <c r="G11"/>
  <c r="G15"/>
  <c r="A7"/>
  <c r="O287" i="11"/>
  <c r="N200"/>
  <c r="N113"/>
  <c r="N35"/>
  <c r="N3"/>
  <c r="L3" l="1"/>
  <c r="L4" s="1"/>
  <c r="L5" s="1"/>
  <c r="L6" s="1"/>
  <c r="L7" s="1"/>
  <c r="L8" s="1"/>
  <c r="L9" s="1"/>
  <c r="L10" s="1"/>
  <c r="L11" s="1"/>
  <c r="L12" s="1"/>
  <c r="L13" s="1"/>
  <c r="L14" s="1"/>
  <c r="L15" s="1"/>
  <c r="L16" s="1"/>
  <c r="L17" s="1"/>
  <c r="L18" s="1"/>
  <c r="L19" s="1"/>
  <c r="L20" s="1"/>
  <c r="L21" s="1"/>
  <c r="L22" s="1"/>
  <c r="L23" s="1"/>
  <c r="L24" s="1"/>
  <c r="L25" s="1"/>
  <c r="L26" s="1"/>
  <c r="L27" s="1"/>
  <c r="L28" s="1"/>
  <c r="L29" s="1"/>
  <c r="L30" s="1"/>
  <c r="L31" s="1"/>
  <c r="L32" s="1"/>
  <c r="L33" s="1"/>
  <c r="L34" s="1"/>
  <c r="L35" s="1"/>
  <c r="L36" s="1"/>
  <c r="L37" s="1"/>
  <c r="L38" s="1"/>
  <c r="L39" s="1"/>
  <c r="L40" s="1"/>
  <c r="L41" s="1"/>
  <c r="L42" s="1"/>
  <c r="L43" s="1"/>
  <c r="L44" s="1"/>
  <c r="L45" s="1"/>
  <c r="L46" s="1"/>
  <c r="L47" s="1"/>
  <c r="L48" s="1"/>
  <c r="L49" s="1"/>
  <c r="L50" s="1"/>
  <c r="L51" s="1"/>
  <c r="L52" s="1"/>
  <c r="L53" s="1"/>
  <c r="L54" s="1"/>
  <c r="L55" s="1"/>
  <c r="L56" s="1"/>
  <c r="L57" s="1"/>
  <c r="L58" s="1"/>
  <c r="L59" s="1"/>
  <c r="L60" s="1"/>
  <c r="L61" s="1"/>
  <c r="L62" s="1"/>
  <c r="L63" s="1"/>
  <c r="L64" s="1"/>
  <c r="L65" s="1"/>
  <c r="L66" s="1"/>
  <c r="L67" s="1"/>
  <c r="L68" s="1"/>
  <c r="L69" s="1"/>
  <c r="L70" s="1"/>
  <c r="L71" s="1"/>
  <c r="L72" s="1"/>
  <c r="L73" s="1"/>
  <c r="L74" s="1"/>
  <c r="L75" s="1"/>
  <c r="L76" s="1"/>
  <c r="L77" s="1"/>
  <c r="L78" s="1"/>
  <c r="L79" s="1"/>
  <c r="L80" s="1"/>
  <c r="L81" s="1"/>
  <c r="L82" s="1"/>
  <c r="L83" s="1"/>
  <c r="L84" s="1"/>
  <c r="L85" s="1"/>
  <c r="L86" s="1"/>
  <c r="L87" s="1"/>
  <c r="L88" s="1"/>
  <c r="L89" s="1"/>
  <c r="L90" s="1"/>
  <c r="L91" s="1"/>
  <c r="L92" s="1"/>
  <c r="L93" s="1"/>
  <c r="L94" s="1"/>
  <c r="L95" s="1"/>
  <c r="L96" s="1"/>
  <c r="L97" s="1"/>
  <c r="L98" s="1"/>
  <c r="L99" s="1"/>
  <c r="L100" s="1"/>
  <c r="L101" s="1"/>
  <c r="L102" s="1"/>
  <c r="L103" s="1"/>
  <c r="L104" s="1"/>
  <c r="L105" s="1"/>
  <c r="L106" s="1"/>
  <c r="L107" s="1"/>
  <c r="L108" s="1"/>
  <c r="L109" s="1"/>
  <c r="L110" s="1"/>
  <c r="L111" s="1"/>
  <c r="L112" s="1"/>
  <c r="L113" s="1"/>
  <c r="L114" s="1"/>
  <c r="L115" s="1"/>
  <c r="L116" s="1"/>
  <c r="L117" s="1"/>
  <c r="L118" s="1"/>
  <c r="L119" s="1"/>
  <c r="L120" s="1"/>
  <c r="L121" s="1"/>
  <c r="L122" s="1"/>
  <c r="L123" s="1"/>
  <c r="L124" s="1"/>
  <c r="L125" s="1"/>
  <c r="L126" s="1"/>
  <c r="L127" s="1"/>
  <c r="L128" s="1"/>
  <c r="L129" s="1"/>
  <c r="L130" s="1"/>
  <c r="L131" s="1"/>
  <c r="L132" s="1"/>
  <c r="L133" s="1"/>
  <c r="L134" s="1"/>
  <c r="L135" s="1"/>
  <c r="L136" s="1"/>
  <c r="L137" s="1"/>
  <c r="L138" s="1"/>
  <c r="L139" s="1"/>
  <c r="L140" s="1"/>
  <c r="L141" s="1"/>
  <c r="L142" s="1"/>
  <c r="L143" s="1"/>
  <c r="L144" s="1"/>
  <c r="L145" s="1"/>
  <c r="L146" s="1"/>
  <c r="L147" s="1"/>
  <c r="L148" s="1"/>
  <c r="L149" s="1"/>
  <c r="L150" s="1"/>
  <c r="L151" s="1"/>
  <c r="L152" s="1"/>
  <c r="L153" s="1"/>
  <c r="L154" s="1"/>
  <c r="L155" s="1"/>
  <c r="L156" s="1"/>
  <c r="L157" s="1"/>
  <c r="L158" s="1"/>
  <c r="L159" s="1"/>
  <c r="L160" s="1"/>
  <c r="L161" s="1"/>
  <c r="L162" s="1"/>
  <c r="L163" s="1"/>
  <c r="L164" s="1"/>
  <c r="L165" s="1"/>
  <c r="L166" s="1"/>
  <c r="L167" s="1"/>
  <c r="L168" s="1"/>
  <c r="L169" s="1"/>
  <c r="L170" s="1"/>
  <c r="L171" s="1"/>
  <c r="L172" s="1"/>
  <c r="L173" s="1"/>
  <c r="L174" s="1"/>
  <c r="L175" s="1"/>
  <c r="L176" s="1"/>
  <c r="L177" s="1"/>
  <c r="L178" s="1"/>
  <c r="L179" s="1"/>
  <c r="L180" s="1"/>
  <c r="L181" s="1"/>
  <c r="L182" s="1"/>
  <c r="L183" s="1"/>
  <c r="L184" s="1"/>
  <c r="L185" s="1"/>
  <c r="L186" s="1"/>
  <c r="L187" s="1"/>
  <c r="L188" s="1"/>
  <c r="L189" s="1"/>
  <c r="L190" s="1"/>
  <c r="L191" s="1"/>
  <c r="L192" s="1"/>
  <c r="L193" s="1"/>
  <c r="L194" s="1"/>
  <c r="L195" s="1"/>
  <c r="L196" s="1"/>
  <c r="L197" s="1"/>
  <c r="L198" s="1"/>
  <c r="L199" s="1"/>
  <c r="L200" s="1"/>
  <c r="L201" s="1"/>
  <c r="L202" s="1"/>
  <c r="L203" s="1"/>
  <c r="L204" s="1"/>
  <c r="L205" s="1"/>
  <c r="L206" s="1"/>
  <c r="L207" s="1"/>
  <c r="L208" s="1"/>
  <c r="L209" s="1"/>
  <c r="L210" s="1"/>
  <c r="L211" s="1"/>
  <c r="L212" s="1"/>
  <c r="L213" s="1"/>
  <c r="L214" s="1"/>
  <c r="L215" s="1"/>
  <c r="L216" s="1"/>
  <c r="L217" s="1"/>
  <c r="L218" s="1"/>
  <c r="L219" s="1"/>
  <c r="L220" s="1"/>
  <c r="L221" s="1"/>
  <c r="L222" s="1"/>
  <c r="L223" s="1"/>
  <c r="L224" s="1"/>
  <c r="L225" s="1"/>
  <c r="L226" s="1"/>
  <c r="L227" s="1"/>
  <c r="L228" s="1"/>
  <c r="L229" s="1"/>
  <c r="L230" s="1"/>
  <c r="L231" s="1"/>
  <c r="L232" s="1"/>
  <c r="L233" s="1"/>
  <c r="L234" s="1"/>
  <c r="L235" s="1"/>
  <c r="L236" s="1"/>
  <c r="L237" s="1"/>
  <c r="L238" s="1"/>
  <c r="L239" s="1"/>
  <c r="L240" s="1"/>
  <c r="L241" s="1"/>
  <c r="L242" s="1"/>
  <c r="L243" s="1"/>
  <c r="L244" s="1"/>
  <c r="L245" s="1"/>
  <c r="L246" s="1"/>
  <c r="L247" s="1"/>
  <c r="L248" s="1"/>
  <c r="L249" s="1"/>
  <c r="L250" s="1"/>
  <c r="L251" s="1"/>
  <c r="L252" s="1"/>
  <c r="L253" s="1"/>
  <c r="L254" s="1"/>
  <c r="L255" s="1"/>
  <c r="L256" s="1"/>
  <c r="L257" s="1"/>
  <c r="L258" s="1"/>
  <c r="L259" s="1"/>
  <c r="L260" s="1"/>
  <c r="L261" s="1"/>
  <c r="L262" s="1"/>
  <c r="L263" s="1"/>
  <c r="L264" s="1"/>
  <c r="L265" s="1"/>
  <c r="L266" s="1"/>
  <c r="L267" s="1"/>
  <c r="L268" s="1"/>
  <c r="L269" s="1"/>
  <c r="L270" s="1"/>
  <c r="L271" s="1"/>
  <c r="L272" s="1"/>
  <c r="L273" s="1"/>
  <c r="L274" s="1"/>
  <c r="L275" s="1"/>
  <c r="L276" s="1"/>
  <c r="L277" s="1"/>
  <c r="L278" s="1"/>
  <c r="L279" s="1"/>
  <c r="L280" s="1"/>
  <c r="L281" s="1"/>
  <c r="L282" s="1"/>
  <c r="L283" s="1"/>
  <c r="L284" s="1"/>
  <c r="L285" s="1"/>
  <c r="L286" s="1"/>
  <c r="L287" s="1"/>
  <c r="L288" s="1"/>
  <c r="L289" s="1"/>
  <c r="L290" s="1"/>
  <c r="L291" s="1"/>
  <c r="L292" s="1"/>
  <c r="L293" s="1"/>
  <c r="L294" s="1"/>
  <c r="L295" s="1"/>
  <c r="L296" s="1"/>
  <c r="L297" s="1"/>
  <c r="L298" s="1"/>
  <c r="L299" s="1"/>
  <c r="L300" s="1"/>
  <c r="L301" s="1"/>
  <c r="L302" s="1"/>
  <c r="L303" s="1"/>
  <c r="L304" s="1"/>
  <c r="L305" s="1"/>
  <c r="L306" s="1"/>
  <c r="L307" s="1"/>
  <c r="L308" s="1"/>
  <c r="L309" s="1"/>
  <c r="L310" s="1"/>
  <c r="L311" s="1"/>
  <c r="L312" s="1"/>
  <c r="L313" s="1"/>
  <c r="L314" s="1"/>
  <c r="L315" s="1"/>
  <c r="L316" s="1"/>
  <c r="L317" s="1"/>
  <c r="L318" s="1"/>
  <c r="L319" s="1"/>
  <c r="L320" s="1"/>
  <c r="L321" s="1"/>
  <c r="L322" s="1"/>
  <c r="L323" s="1"/>
  <c r="L324" s="1"/>
  <c r="L325" s="1"/>
  <c r="L326" s="1"/>
  <c r="L327" s="1"/>
  <c r="L328" s="1"/>
  <c r="L329" s="1"/>
  <c r="L330" s="1"/>
  <c r="L331" s="1"/>
  <c r="L332" s="1"/>
  <c r="L333" s="1"/>
  <c r="L334" s="1"/>
  <c r="L335" s="1"/>
  <c r="L336" s="1"/>
  <c r="L337" s="1"/>
  <c r="L338" s="1"/>
  <c r="L339" s="1"/>
  <c r="L340" s="1"/>
  <c r="L341" s="1"/>
  <c r="L342" s="1"/>
  <c r="L343" s="1"/>
  <c r="L344" s="1"/>
  <c r="L345" s="1"/>
  <c r="L346" s="1"/>
  <c r="L347" s="1"/>
  <c r="L348" s="1"/>
  <c r="L349" s="1"/>
  <c r="L350" s="1"/>
  <c r="L351" s="1"/>
  <c r="L352" s="1"/>
  <c r="L353" s="1"/>
  <c r="L354" s="1"/>
  <c r="L355" s="1"/>
  <c r="L356" s="1"/>
  <c r="L357" s="1"/>
  <c r="L358" s="1"/>
  <c r="L359" s="1"/>
  <c r="L360" s="1"/>
  <c r="L361" s="1"/>
  <c r="L362" s="1"/>
  <c r="L363" s="1"/>
  <c r="L364" s="1"/>
  <c r="L365" s="1"/>
  <c r="L366" s="1"/>
  <c r="L367" s="1"/>
  <c r="L368" s="1"/>
  <c r="L369" s="1"/>
  <c r="L370" s="1"/>
  <c r="L371" s="1"/>
  <c r="L372" s="1"/>
  <c r="L373" s="1"/>
  <c r="L374" s="1"/>
  <c r="L375" s="1"/>
  <c r="L376" s="1"/>
  <c r="L377" s="1"/>
  <c r="L378" s="1"/>
  <c r="L379" s="1"/>
  <c r="L380" s="1"/>
  <c r="L381" s="1"/>
  <c r="L382" s="1"/>
  <c r="L383" s="1"/>
  <c r="L384" s="1"/>
  <c r="L385" s="1"/>
  <c r="L386" s="1"/>
  <c r="L387" s="1"/>
  <c r="L388" s="1"/>
  <c r="L389" s="1"/>
  <c r="L390" s="1"/>
  <c r="L391" s="1"/>
  <c r="L392" s="1"/>
  <c r="L393" s="1"/>
  <c r="L394" s="1"/>
  <c r="L395" s="1"/>
  <c r="L396" s="1"/>
  <c r="L397" s="1"/>
  <c r="L398" s="1"/>
  <c r="L399" s="1"/>
  <c r="L400" s="1"/>
  <c r="L401" s="1"/>
  <c r="L402" s="1"/>
  <c r="L403" s="1"/>
  <c r="L404" s="1"/>
  <c r="L405" s="1"/>
  <c r="L406" s="1"/>
  <c r="L407" s="1"/>
  <c r="L408" s="1"/>
  <c r="L409" s="1"/>
  <c r="L410" s="1"/>
  <c r="L411" s="1"/>
  <c r="L412" s="1"/>
  <c r="L413" s="1"/>
  <c r="L414" s="1"/>
  <c r="L415" s="1"/>
  <c r="L416" s="1"/>
  <c r="L417" s="1"/>
  <c r="L418" s="1"/>
  <c r="L419" s="1"/>
  <c r="L420" s="1"/>
  <c r="L421" s="1"/>
  <c r="L422" s="1"/>
  <c r="L423" s="1"/>
  <c r="L424" s="1"/>
  <c r="L425" s="1"/>
  <c r="L426" s="1"/>
  <c r="L427" s="1"/>
  <c r="L428" s="1"/>
  <c r="L429" s="1"/>
  <c r="L430" s="1"/>
  <c r="L431" s="1"/>
  <c r="L432" s="1"/>
  <c r="L433" s="1"/>
  <c r="L434" s="1"/>
  <c r="L435" s="1"/>
  <c r="L436" s="1"/>
  <c r="L437" s="1"/>
  <c r="L438" s="1"/>
  <c r="L439" s="1"/>
  <c r="L440" s="1"/>
  <c r="L441" s="1"/>
  <c r="L442" s="1"/>
  <c r="L443" s="1"/>
  <c r="L444" s="1"/>
  <c r="L445" s="1"/>
  <c r="L446" s="1"/>
  <c r="L447" s="1"/>
  <c r="L448" s="1"/>
  <c r="L449" s="1"/>
  <c r="L450" s="1"/>
  <c r="L451" s="1"/>
  <c r="L452" s="1"/>
  <c r="L453" s="1"/>
  <c r="L454" s="1"/>
  <c r="L455" s="1"/>
  <c r="L456" s="1"/>
  <c r="L457" s="1"/>
  <c r="L458" s="1"/>
  <c r="L459" s="1"/>
  <c r="L460" s="1"/>
  <c r="L461" s="1"/>
  <c r="L462" s="1"/>
  <c r="L463" s="1"/>
  <c r="L464" s="1"/>
  <c r="L465" s="1"/>
  <c r="L466" s="1"/>
  <c r="L467" s="1"/>
  <c r="L468" s="1"/>
  <c r="L469" s="1"/>
  <c r="L470" s="1"/>
  <c r="L471" s="1"/>
  <c r="L472" s="1"/>
  <c r="L473" s="1"/>
  <c r="L474" s="1"/>
  <c r="L475" s="1"/>
  <c r="L476" s="1"/>
  <c r="L477" s="1"/>
  <c r="L478" s="1"/>
  <c r="L479" s="1"/>
  <c r="L480" s="1"/>
  <c r="L481" s="1"/>
  <c r="L482" s="1"/>
  <c r="L483" s="1"/>
  <c r="L484" s="1"/>
  <c r="L485" s="1"/>
  <c r="L486" s="1"/>
  <c r="L487" s="1"/>
  <c r="L488" s="1"/>
  <c r="L489" s="1"/>
  <c r="L490" s="1"/>
  <c r="L491" s="1"/>
  <c r="L492" s="1"/>
  <c r="L493" s="1"/>
  <c r="L494" s="1"/>
  <c r="L495" s="1"/>
  <c r="L496" s="1"/>
  <c r="L497" s="1"/>
  <c r="L498" s="1"/>
  <c r="L499" s="1"/>
  <c r="L500" s="1"/>
  <c r="L501" s="1"/>
  <c r="L502" s="1"/>
  <c r="L503" s="1"/>
  <c r="L504" s="1"/>
  <c r="L505" s="1"/>
  <c r="L506" s="1"/>
  <c r="L507" s="1"/>
  <c r="L508" s="1"/>
  <c r="L509" s="1"/>
  <c r="L510" s="1"/>
  <c r="L511" s="1"/>
  <c r="L512" s="1"/>
  <c r="L513" s="1"/>
  <c r="L514" s="1"/>
  <c r="L515" s="1"/>
  <c r="L516" s="1"/>
  <c r="L517" s="1"/>
  <c r="L518" s="1"/>
  <c r="L519" s="1"/>
  <c r="L520" s="1"/>
  <c r="L521" s="1"/>
  <c r="L522" s="1"/>
  <c r="L523" s="1"/>
  <c r="L524" s="1"/>
  <c r="L525" s="1"/>
  <c r="L526" s="1"/>
  <c r="L527" s="1"/>
  <c r="L528" s="1"/>
  <c r="L529" s="1"/>
  <c r="L530" s="1"/>
  <c r="L531" s="1"/>
  <c r="L532" s="1"/>
  <c r="L533" s="1"/>
  <c r="L534" s="1"/>
  <c r="L535" s="1"/>
  <c r="L536" s="1"/>
  <c r="L537" s="1"/>
  <c r="L538" s="1"/>
  <c r="L539" s="1"/>
  <c r="L540" s="1"/>
  <c r="L541" s="1"/>
  <c r="L542" s="1"/>
  <c r="L543" s="1"/>
  <c r="L544" s="1"/>
  <c r="L545" s="1"/>
  <c r="L546" s="1"/>
  <c r="L547" s="1"/>
  <c r="L548" s="1"/>
  <c r="L549" s="1"/>
  <c r="L550" s="1"/>
  <c r="L551" s="1"/>
  <c r="L552" s="1"/>
  <c r="L553" s="1"/>
  <c r="L554" s="1"/>
  <c r="L555" s="1"/>
  <c r="L556" s="1"/>
  <c r="L557" s="1"/>
  <c r="L558" s="1"/>
  <c r="L559" s="1"/>
  <c r="L560" s="1"/>
  <c r="L561" s="1"/>
  <c r="L562" s="1"/>
  <c r="L563" s="1"/>
  <c r="L564" s="1"/>
  <c r="L565" s="1"/>
  <c r="L566" s="1"/>
  <c r="L567" s="1"/>
  <c r="L568" s="1"/>
  <c r="L569" s="1"/>
  <c r="L570" s="1"/>
  <c r="L571" s="1"/>
  <c r="L572" s="1"/>
  <c r="L573" s="1"/>
  <c r="L574" s="1"/>
  <c r="L575" s="1"/>
  <c r="L576" s="1"/>
  <c r="L577" s="1"/>
  <c r="L578" s="1"/>
  <c r="L579" s="1"/>
  <c r="L580" s="1"/>
  <c r="L581" s="1"/>
  <c r="L582" s="1"/>
  <c r="L583" s="1"/>
  <c r="L584" s="1"/>
  <c r="L585" s="1"/>
  <c r="L586" s="1"/>
  <c r="L587" s="1"/>
  <c r="L588" s="1"/>
  <c r="L589" s="1"/>
  <c r="L590" s="1"/>
  <c r="L591" s="1"/>
  <c r="L592" s="1"/>
  <c r="L593" s="1"/>
  <c r="L594" s="1"/>
  <c r="L595" s="1"/>
  <c r="L596" s="1"/>
  <c r="L597" s="1"/>
  <c r="L598" s="1"/>
  <c r="L599" s="1"/>
  <c r="L600" s="1"/>
  <c r="L601" s="1"/>
  <c r="L602" s="1"/>
  <c r="L603" s="1"/>
  <c r="L604" s="1"/>
  <c r="L605" s="1"/>
  <c r="L606" s="1"/>
  <c r="L607" s="1"/>
  <c r="L608" s="1"/>
  <c r="L609" s="1"/>
  <c r="L610" s="1"/>
  <c r="I19" i="12"/>
  <c r="J19" s="1"/>
  <c r="O1130" i="2"/>
  <c r="O1129" s="1"/>
  <c r="F118" i="1" s="1"/>
  <c r="G1129" i="2"/>
  <c r="C1129"/>
  <c r="B1129"/>
  <c r="A1129"/>
  <c r="L117" i="1"/>
  <c r="H118"/>
  <c r="F544"/>
  <c r="I544" s="1"/>
  <c r="H2763" i="2"/>
  <c r="H2762" s="1"/>
  <c r="G2762"/>
  <c r="C2762"/>
  <c r="B2762"/>
  <c r="A2762"/>
  <c r="J118" i="1" l="1"/>
  <c r="I118"/>
  <c r="J544"/>
  <c r="A311"/>
  <c r="B204" i="5"/>
  <c r="F196"/>
  <c r="F195"/>
  <c r="F194"/>
  <c r="F193"/>
  <c r="B199" s="1"/>
  <c r="F199" l="1"/>
  <c r="C199"/>
  <c r="H6" i="7"/>
  <c r="N25" i="4"/>
  <c r="N22"/>
  <c r="N19"/>
  <c r="N16"/>
  <c r="N13"/>
  <c r="O94" i="3"/>
  <c r="O91"/>
  <c r="O100"/>
  <c r="N100"/>
  <c r="M100"/>
  <c r="N97"/>
  <c r="N94"/>
  <c r="N91"/>
  <c r="M91"/>
  <c r="N88"/>
  <c r="N85"/>
  <c r="O79"/>
  <c r="N79"/>
  <c r="N76"/>
  <c r="M73"/>
  <c r="N70"/>
  <c r="M70"/>
  <c r="L70"/>
  <c r="N67"/>
  <c r="O64"/>
  <c r="N64"/>
  <c r="N61"/>
  <c r="O61"/>
  <c r="N58"/>
  <c r="N55"/>
  <c r="N52"/>
  <c r="N49"/>
  <c r="N43"/>
  <c r="N40"/>
  <c r="N31"/>
  <c r="N25"/>
  <c r="N34"/>
  <c r="M31"/>
  <c r="N28"/>
  <c r="O97"/>
  <c r="C38"/>
  <c r="B38"/>
  <c r="L22"/>
  <c r="N16"/>
  <c r="O16"/>
  <c r="M13"/>
  <c r="N13"/>
  <c r="I9"/>
  <c r="J9"/>
  <c r="K9"/>
  <c r="L9"/>
  <c r="M9"/>
  <c r="N9"/>
  <c r="N10" s="1"/>
  <c r="O9"/>
  <c r="H9"/>
  <c r="H43" i="8"/>
  <c r="A145" i="1"/>
  <c r="F7" i="5"/>
  <c r="F8"/>
  <c r="F9"/>
  <c r="F10"/>
  <c r="F11"/>
  <c r="A177" i="1"/>
  <c r="B14" i="5" l="1"/>
  <c r="C14"/>
  <c r="O241" i="2"/>
  <c r="F62" i="1" s="1"/>
  <c r="I62" s="1"/>
  <c r="G241" i="2"/>
  <c r="C241"/>
  <c r="B241"/>
  <c r="A241"/>
  <c r="L63" i="1"/>
  <c r="H62"/>
  <c r="A494"/>
  <c r="E317" i="6"/>
  <c r="F318"/>
  <c r="F319"/>
  <c r="F320"/>
  <c r="B331"/>
  <c r="F317"/>
  <c r="B323" s="1"/>
  <c r="G2552" i="2"/>
  <c r="A2552"/>
  <c r="C2552"/>
  <c r="B2552"/>
  <c r="H2552"/>
  <c r="F452" i="1" s="1"/>
  <c r="I452" s="1"/>
  <c r="K134" i="2"/>
  <c r="L134"/>
  <c r="L142"/>
  <c r="K142"/>
  <c r="L54"/>
  <c r="N54" s="1"/>
  <c r="G2564"/>
  <c r="C2564"/>
  <c r="B2564"/>
  <c r="A2564"/>
  <c r="H2564"/>
  <c r="F458" i="1" s="1"/>
  <c r="I458" s="1"/>
  <c r="H2833" i="2"/>
  <c r="H2747"/>
  <c r="H2745"/>
  <c r="H2743"/>
  <c r="G253"/>
  <c r="G263"/>
  <c r="C263"/>
  <c r="B263"/>
  <c r="A263"/>
  <c r="C253"/>
  <c r="B253"/>
  <c r="A253"/>
  <c r="N262"/>
  <c r="O262" s="1"/>
  <c r="N261"/>
  <c r="O261" s="1"/>
  <c r="N260"/>
  <c r="O260" s="1"/>
  <c r="N259"/>
  <c r="O259" s="1"/>
  <c r="N258"/>
  <c r="O258" s="1"/>
  <c r="O257"/>
  <c r="H64" i="1"/>
  <c r="H65"/>
  <c r="H101"/>
  <c r="C2949" i="2"/>
  <c r="B2949"/>
  <c r="A2949"/>
  <c r="H2949"/>
  <c r="F619" i="1" s="1"/>
  <c r="I619" s="1"/>
  <c r="H924" i="2"/>
  <c r="L102" i="1"/>
  <c r="H1323" i="2"/>
  <c r="F157" i="1" s="1"/>
  <c r="I157" s="1"/>
  <c r="G1323" i="2"/>
  <c r="C1323"/>
  <c r="B1323"/>
  <c r="A1323"/>
  <c r="N1324"/>
  <c r="N1323" s="1"/>
  <c r="L156" i="1"/>
  <c r="G1297" i="2"/>
  <c r="C1297"/>
  <c r="B1297"/>
  <c r="A1297"/>
  <c r="N1298"/>
  <c r="N1297" s="1"/>
  <c r="F147" i="1" s="1"/>
  <c r="H21" i="2"/>
  <c r="H11"/>
  <c r="H2828"/>
  <c r="H2822"/>
  <c r="H2786"/>
  <c r="H2770"/>
  <c r="H2769"/>
  <c r="H2559"/>
  <c r="G2550"/>
  <c r="H2537"/>
  <c r="H2536"/>
  <c r="H2535" s="1"/>
  <c r="H2532"/>
  <c r="H2531" s="1"/>
  <c r="H2530"/>
  <c r="H2529" s="1"/>
  <c r="H2528"/>
  <c r="H2527" s="1"/>
  <c r="H2315"/>
  <c r="H2311"/>
  <c r="H2309"/>
  <c r="G1995"/>
  <c r="C1995"/>
  <c r="B1995"/>
  <c r="A1995"/>
  <c r="K2001"/>
  <c r="N2001" s="1"/>
  <c r="M2000"/>
  <c r="L2000"/>
  <c r="K2000"/>
  <c r="L1999"/>
  <c r="K1999"/>
  <c r="K1998"/>
  <c r="N1998" s="1"/>
  <c r="L1997"/>
  <c r="K1997"/>
  <c r="M1996"/>
  <c r="K1996"/>
  <c r="U1969"/>
  <c r="W1969" s="1"/>
  <c r="U1968"/>
  <c r="W1968" s="1"/>
  <c r="U1967"/>
  <c r="W1967" s="1"/>
  <c r="U1966"/>
  <c r="W1966" s="1"/>
  <c r="U1965"/>
  <c r="W1965" s="1"/>
  <c r="U1964"/>
  <c r="W1964" s="1"/>
  <c r="U1963"/>
  <c r="W1963" s="1"/>
  <c r="U1962"/>
  <c r="W1962" s="1"/>
  <c r="J1835"/>
  <c r="L1827"/>
  <c r="F189" i="1" s="1"/>
  <c r="I189" s="1"/>
  <c r="C1827" i="2"/>
  <c r="B1827"/>
  <c r="A1827"/>
  <c r="N1698"/>
  <c r="F185" i="1" s="1"/>
  <c r="N1850" i="2"/>
  <c r="N1848" s="1"/>
  <c r="N1789"/>
  <c r="N1790"/>
  <c r="N1791"/>
  <c r="N1792"/>
  <c r="N1793"/>
  <c r="N1794"/>
  <c r="N1795"/>
  <c r="N1796"/>
  <c r="N1797"/>
  <c r="N1798"/>
  <c r="N1799"/>
  <c r="N1800"/>
  <c r="N1801"/>
  <c r="N1802"/>
  <c r="N1803"/>
  <c r="N1804"/>
  <c r="N1805"/>
  <c r="N1806"/>
  <c r="N1807"/>
  <c r="N1808"/>
  <c r="N1809"/>
  <c r="N1810"/>
  <c r="N1811"/>
  <c r="N1812"/>
  <c r="N1813"/>
  <c r="N1814"/>
  <c r="N1815"/>
  <c r="N1816"/>
  <c r="N1817"/>
  <c r="N1818"/>
  <c r="N1819"/>
  <c r="N1821"/>
  <c r="N1822"/>
  <c r="N1823"/>
  <c r="N1824"/>
  <c r="N1825"/>
  <c r="N1826"/>
  <c r="N1788"/>
  <c r="X1565"/>
  <c r="X1566"/>
  <c r="X1567"/>
  <c r="X1568"/>
  <c r="X1569"/>
  <c r="X1570"/>
  <c r="X1571"/>
  <c r="X1572"/>
  <c r="X1573"/>
  <c r="X1574"/>
  <c r="X1575"/>
  <c r="X1576"/>
  <c r="X1577"/>
  <c r="X1578"/>
  <c r="X1579"/>
  <c r="X1580"/>
  <c r="X1581"/>
  <c r="X1582"/>
  <c r="X1583"/>
  <c r="X1584"/>
  <c r="X1585"/>
  <c r="X1586"/>
  <c r="X1587"/>
  <c r="X1588"/>
  <c r="X1589"/>
  <c r="X1590"/>
  <c r="X1591"/>
  <c r="X1592"/>
  <c r="X1593"/>
  <c r="X1594"/>
  <c r="X1595"/>
  <c r="X1597"/>
  <c r="X1598"/>
  <c r="X1599"/>
  <c r="X1600"/>
  <c r="X1601"/>
  <c r="X1602"/>
  <c r="X1603"/>
  <c r="X1604"/>
  <c r="X1605"/>
  <c r="X1606"/>
  <c r="X1607"/>
  <c r="X1564"/>
  <c r="V1596"/>
  <c r="X1596" s="1"/>
  <c r="N1476"/>
  <c r="S1749"/>
  <c r="S1750"/>
  <c r="S1751"/>
  <c r="S1752"/>
  <c r="S1753"/>
  <c r="S1754"/>
  <c r="S1755"/>
  <c r="S1756"/>
  <c r="S1757"/>
  <c r="S1758"/>
  <c r="S1759"/>
  <c r="S1760"/>
  <c r="S1761"/>
  <c r="S1762"/>
  <c r="S1763"/>
  <c r="S1764"/>
  <c r="S1765"/>
  <c r="S1766"/>
  <c r="S1767"/>
  <c r="S1768"/>
  <c r="S1769"/>
  <c r="S1770"/>
  <c r="S1771"/>
  <c r="S1772"/>
  <c r="S1773"/>
  <c r="S1774"/>
  <c r="S1775"/>
  <c r="S1776"/>
  <c r="S1777"/>
  <c r="S1778"/>
  <c r="S1780"/>
  <c r="S1781"/>
  <c r="S1782"/>
  <c r="S1783"/>
  <c r="S1784"/>
  <c r="S1785"/>
  <c r="Q1747"/>
  <c r="S1747" s="1"/>
  <c r="Q1779"/>
  <c r="S1779" s="1"/>
  <c r="Q1748"/>
  <c r="S1748" s="1"/>
  <c r="G1468"/>
  <c r="C1468"/>
  <c r="B1468"/>
  <c r="A1468"/>
  <c r="L1468"/>
  <c r="F165" i="1" s="1"/>
  <c r="I165" s="1"/>
  <c r="N1340" i="2"/>
  <c r="L1339"/>
  <c r="N1339" s="1"/>
  <c r="M1338"/>
  <c r="N1338" s="1"/>
  <c r="N1188"/>
  <c r="N1191"/>
  <c r="N1186"/>
  <c r="M1190"/>
  <c r="L1190"/>
  <c r="N1190" s="1"/>
  <c r="L1189"/>
  <c r="N1189" s="1"/>
  <c r="L1187"/>
  <c r="N1187" s="1"/>
  <c r="M1186"/>
  <c r="H2100"/>
  <c r="F258" i="1" s="1"/>
  <c r="I258" s="1"/>
  <c r="G2100" i="2"/>
  <c r="C2100"/>
  <c r="B2100"/>
  <c r="A2100"/>
  <c r="A717" i="1"/>
  <c r="A716"/>
  <c r="H80" i="10"/>
  <c r="H79"/>
  <c r="H2013" i="2"/>
  <c r="H2012" s="1"/>
  <c r="F214" i="1" s="1"/>
  <c r="H2011" i="2"/>
  <c r="H2010" s="1"/>
  <c r="F213" i="1" s="1"/>
  <c r="G2012" i="2"/>
  <c r="C2012"/>
  <c r="B2012"/>
  <c r="A2012"/>
  <c r="G2010"/>
  <c r="C2010"/>
  <c r="B2010"/>
  <c r="A2010"/>
  <c r="C2186"/>
  <c r="C2188"/>
  <c r="C2190"/>
  <c r="N2003"/>
  <c r="N2004"/>
  <c r="N2005"/>
  <c r="N1974"/>
  <c r="N1971"/>
  <c r="N1936"/>
  <c r="N1937"/>
  <c r="N1938"/>
  <c r="N1940"/>
  <c r="N1941"/>
  <c r="N1942"/>
  <c r="N1943"/>
  <c r="N1944"/>
  <c r="N1945"/>
  <c r="N1946"/>
  <c r="N1947"/>
  <c r="N1948"/>
  <c r="N1949"/>
  <c r="N1950"/>
  <c r="N1951"/>
  <c r="N1952"/>
  <c r="N1953"/>
  <c r="N1954"/>
  <c r="N1955"/>
  <c r="N1956"/>
  <c r="N1957"/>
  <c r="N1959"/>
  <c r="N1935"/>
  <c r="N1908"/>
  <c r="N1909"/>
  <c r="N1910"/>
  <c r="N1912"/>
  <c r="N1913"/>
  <c r="N1914"/>
  <c r="N1915"/>
  <c r="N1916"/>
  <c r="N1917"/>
  <c r="N1918"/>
  <c r="N1919"/>
  <c r="N1920"/>
  <c r="N1921"/>
  <c r="N1922"/>
  <c r="N1923"/>
  <c r="N1924"/>
  <c r="N1925"/>
  <c r="N1926"/>
  <c r="N1927"/>
  <c r="N1928"/>
  <c r="N1929"/>
  <c r="N1931"/>
  <c r="N1907"/>
  <c r="N1880"/>
  <c r="N1881"/>
  <c r="N1882"/>
  <c r="N1884"/>
  <c r="N1885"/>
  <c r="N1886"/>
  <c r="N1887"/>
  <c r="N1888"/>
  <c r="N1889"/>
  <c r="N1890"/>
  <c r="N1891"/>
  <c r="N1892"/>
  <c r="N1893"/>
  <c r="N1894"/>
  <c r="N1895"/>
  <c r="N1896"/>
  <c r="N1897"/>
  <c r="N1898"/>
  <c r="N1899"/>
  <c r="N1900"/>
  <c r="N1901"/>
  <c r="N1903"/>
  <c r="N1879"/>
  <c r="G2002"/>
  <c r="C2002"/>
  <c r="B2002"/>
  <c r="A2002"/>
  <c r="L3095"/>
  <c r="F670" i="1" s="1"/>
  <c r="I670" s="1"/>
  <c r="C3095" i="2"/>
  <c r="B3095"/>
  <c r="A3095"/>
  <c r="C3096"/>
  <c r="H3081"/>
  <c r="H2062"/>
  <c r="D666" i="1"/>
  <c r="H3086" i="2"/>
  <c r="H2026"/>
  <c r="C2032"/>
  <c r="H13" i="1"/>
  <c r="G10" i="2"/>
  <c r="C10"/>
  <c r="C3091"/>
  <c r="B3091"/>
  <c r="A3091"/>
  <c r="H3091"/>
  <c r="F668" i="1" s="1"/>
  <c r="B10" i="2"/>
  <c r="A10"/>
  <c r="H9"/>
  <c r="C3094"/>
  <c r="C3090"/>
  <c r="C3085"/>
  <c r="C3081"/>
  <c r="C3080"/>
  <c r="H2090"/>
  <c r="H15" i="1"/>
  <c r="G14" i="2"/>
  <c r="N252"/>
  <c r="O252" s="1"/>
  <c r="N251"/>
  <c r="O251" s="1"/>
  <c r="N250"/>
  <c r="O250" s="1"/>
  <c r="N249"/>
  <c r="O249" s="1"/>
  <c r="N248"/>
  <c r="O248" s="1"/>
  <c r="C14"/>
  <c r="B14"/>
  <c r="A14"/>
  <c r="H15"/>
  <c r="H14" s="1"/>
  <c r="F15" i="1" s="1"/>
  <c r="O1742" i="2"/>
  <c r="O1741"/>
  <c r="O1740"/>
  <c r="O1739"/>
  <c r="O1738"/>
  <c r="O1693"/>
  <c r="O1697"/>
  <c r="O1696"/>
  <c r="O1695"/>
  <c r="O1694"/>
  <c r="H2088"/>
  <c r="N974"/>
  <c r="N1994"/>
  <c r="N1993" s="1"/>
  <c r="F208" i="1" s="1"/>
  <c r="G1993" i="2"/>
  <c r="C1993"/>
  <c r="B1993"/>
  <c r="A1993"/>
  <c r="N990"/>
  <c r="I991"/>
  <c r="N991" s="1"/>
  <c r="H110" i="1"/>
  <c r="B989" i="2"/>
  <c r="A989"/>
  <c r="J2969"/>
  <c r="G2968"/>
  <c r="C2968"/>
  <c r="B2968"/>
  <c r="A2968"/>
  <c r="G2970"/>
  <c r="C2970"/>
  <c r="B2970"/>
  <c r="A2970"/>
  <c r="C2971"/>
  <c r="C2969"/>
  <c r="C2967"/>
  <c r="C2965"/>
  <c r="C2963"/>
  <c r="C2959"/>
  <c r="C2955"/>
  <c r="G2181"/>
  <c r="C2181"/>
  <c r="B2181"/>
  <c r="A2181"/>
  <c r="H2181"/>
  <c r="F297" i="1" s="1"/>
  <c r="I297" s="1"/>
  <c r="P2956" i="2"/>
  <c r="C2961"/>
  <c r="N1153"/>
  <c r="N1155" s="1"/>
  <c r="N1154" s="1"/>
  <c r="F128" i="1" s="1"/>
  <c r="C1154" i="2"/>
  <c r="B1154"/>
  <c r="A1154"/>
  <c r="C1152"/>
  <c r="B1152"/>
  <c r="A1152"/>
  <c r="D126" i="1"/>
  <c r="H2178" i="2"/>
  <c r="F296" i="1" s="1"/>
  <c r="K1980" i="2"/>
  <c r="I1978"/>
  <c r="I1981" s="1"/>
  <c r="G2178"/>
  <c r="C2178"/>
  <c r="I1977"/>
  <c r="I1980" s="1"/>
  <c r="B2178"/>
  <c r="A2178"/>
  <c r="H2176"/>
  <c r="F295" i="1" s="1"/>
  <c r="I295" s="1"/>
  <c r="H2174" i="2"/>
  <c r="F294" i="1" s="1"/>
  <c r="J3000" i="2"/>
  <c r="G2176"/>
  <c r="C2176"/>
  <c r="B2176"/>
  <c r="A2176"/>
  <c r="G2174"/>
  <c r="C2174"/>
  <c r="B2174"/>
  <c r="A2174"/>
  <c r="J3005"/>
  <c r="J3026"/>
  <c r="J3025"/>
  <c r="J3024"/>
  <c r="L3046"/>
  <c r="L3047"/>
  <c r="L3048"/>
  <c r="L3049"/>
  <c r="L3050"/>
  <c r="L3045"/>
  <c r="N3039"/>
  <c r="N3040"/>
  <c r="N3041"/>
  <c r="N3042"/>
  <c r="N3043"/>
  <c r="N3038"/>
  <c r="G3044"/>
  <c r="B3044"/>
  <c r="A3044"/>
  <c r="H2237"/>
  <c r="N849"/>
  <c r="H849" s="1"/>
  <c r="H848" s="1"/>
  <c r="H850"/>
  <c r="G850"/>
  <c r="C850"/>
  <c r="B850"/>
  <c r="A850"/>
  <c r="H98" i="1"/>
  <c r="G848" i="2"/>
  <c r="C848"/>
  <c r="B848"/>
  <c r="A848"/>
  <c r="H97" i="1"/>
  <c r="H844" i="2"/>
  <c r="O510"/>
  <c r="O509"/>
  <c r="O508"/>
  <c r="O507"/>
  <c r="M506"/>
  <c r="N506"/>
  <c r="O503"/>
  <c r="O504"/>
  <c r="O502"/>
  <c r="K501"/>
  <c r="O501" s="1"/>
  <c r="K502"/>
  <c r="N927"/>
  <c r="O927" s="1"/>
  <c r="N926"/>
  <c r="O926" s="1"/>
  <c r="G925"/>
  <c r="C925"/>
  <c r="B925"/>
  <c r="A925"/>
  <c r="H103" i="1"/>
  <c r="D304"/>
  <c r="C2200" i="2" s="1"/>
  <c r="N929"/>
  <c r="A304" i="1"/>
  <c r="N930" i="2"/>
  <c r="G928"/>
  <c r="C928"/>
  <c r="B928"/>
  <c r="A928"/>
  <c r="H104" i="1"/>
  <c r="N799" i="2"/>
  <c r="N797"/>
  <c r="H795"/>
  <c r="N795" s="1"/>
  <c r="N793"/>
  <c r="N791"/>
  <c r="K790"/>
  <c r="N790" s="1"/>
  <c r="K791"/>
  <c r="N792"/>
  <c r="N796"/>
  <c r="N798"/>
  <c r="N710"/>
  <c r="N708"/>
  <c r="N704"/>
  <c r="N711"/>
  <c r="H2226"/>
  <c r="N709"/>
  <c r="N707"/>
  <c r="O707" s="1"/>
  <c r="N705"/>
  <c r="N703"/>
  <c r="K703"/>
  <c r="K702"/>
  <c r="N702" s="1"/>
  <c r="O704"/>
  <c r="O708"/>
  <c r="O710"/>
  <c r="N627"/>
  <c r="N628"/>
  <c r="N629"/>
  <c r="N630"/>
  <c r="N631"/>
  <c r="N632"/>
  <c r="N633"/>
  <c r="N634"/>
  <c r="N636"/>
  <c r="N637"/>
  <c r="N638"/>
  <c r="N639"/>
  <c r="N640"/>
  <c r="N641"/>
  <c r="N642"/>
  <c r="N643"/>
  <c r="N644"/>
  <c r="N645"/>
  <c r="N646"/>
  <c r="N647"/>
  <c r="N648"/>
  <c r="N649"/>
  <c r="N650"/>
  <c r="N651"/>
  <c r="N652"/>
  <c r="N653"/>
  <c r="N654"/>
  <c r="N655"/>
  <c r="N656"/>
  <c r="N657"/>
  <c r="N658"/>
  <c r="N659"/>
  <c r="N660"/>
  <c r="N661"/>
  <c r="N662"/>
  <c r="N663"/>
  <c r="N664"/>
  <c r="N665"/>
  <c r="N666"/>
  <c r="N667"/>
  <c r="N668"/>
  <c r="N669"/>
  <c r="N670"/>
  <c r="N672"/>
  <c r="N673"/>
  <c r="N674"/>
  <c r="N675"/>
  <c r="N676"/>
  <c r="N677"/>
  <c r="N678"/>
  <c r="N679"/>
  <c r="N680"/>
  <c r="N681"/>
  <c r="N682"/>
  <c r="N683"/>
  <c r="N684"/>
  <c r="N685"/>
  <c r="N686"/>
  <c r="N687"/>
  <c r="N688"/>
  <c r="N689"/>
  <c r="N690"/>
  <c r="N691"/>
  <c r="N692"/>
  <c r="N693"/>
  <c r="N694"/>
  <c r="N695"/>
  <c r="N696"/>
  <c r="N697"/>
  <c r="N698"/>
  <c r="N699"/>
  <c r="N700"/>
  <c r="N724"/>
  <c r="N725"/>
  <c r="N726"/>
  <c r="N727"/>
  <c r="N728"/>
  <c r="N729"/>
  <c r="N730"/>
  <c r="N731"/>
  <c r="N732"/>
  <c r="N733"/>
  <c r="N734"/>
  <c r="N735"/>
  <c r="N736"/>
  <c r="N737"/>
  <c r="N738"/>
  <c r="N739"/>
  <c r="N740"/>
  <c r="N741"/>
  <c r="N742"/>
  <c r="N743"/>
  <c r="N744"/>
  <c r="N745"/>
  <c r="N746"/>
  <c r="N747"/>
  <c r="N748"/>
  <c r="N749"/>
  <c r="N750"/>
  <c r="N751"/>
  <c r="N752"/>
  <c r="N753"/>
  <c r="N754"/>
  <c r="N755"/>
  <c r="N756"/>
  <c r="N757"/>
  <c r="N758"/>
  <c r="N760"/>
  <c r="N761"/>
  <c r="N762"/>
  <c r="N763"/>
  <c r="N764"/>
  <c r="N765"/>
  <c r="N766"/>
  <c r="N767"/>
  <c r="N768"/>
  <c r="N769"/>
  <c r="N770"/>
  <c r="N771"/>
  <c r="N772"/>
  <c r="N773"/>
  <c r="N774"/>
  <c r="N775"/>
  <c r="N776"/>
  <c r="N777"/>
  <c r="N778"/>
  <c r="N779"/>
  <c r="N780"/>
  <c r="N781"/>
  <c r="N782"/>
  <c r="N783"/>
  <c r="N784"/>
  <c r="N785"/>
  <c r="N786"/>
  <c r="N787"/>
  <c r="N788"/>
  <c r="O247"/>
  <c r="N1301"/>
  <c r="F149" i="1" s="1"/>
  <c r="I149" s="1"/>
  <c r="H2904" i="2"/>
  <c r="F614" i="1" s="1"/>
  <c r="H2902" i="2"/>
  <c r="F613" i="1" s="1"/>
  <c r="J2897" i="2"/>
  <c r="H2898"/>
  <c r="F611" i="1" s="1"/>
  <c r="F183" i="5"/>
  <c r="F182"/>
  <c r="F181"/>
  <c r="F180"/>
  <c r="F179"/>
  <c r="F178"/>
  <c r="J149" i="1"/>
  <c r="G1301" i="2"/>
  <c r="C1301"/>
  <c r="B1301"/>
  <c r="A1301"/>
  <c r="N2996"/>
  <c r="N2995" s="1"/>
  <c r="F637" i="1" s="1"/>
  <c r="I637" s="1"/>
  <c r="G2995" i="2"/>
  <c r="B2995"/>
  <c r="A2995"/>
  <c r="N2994"/>
  <c r="N2993"/>
  <c r="N2992"/>
  <c r="N2991"/>
  <c r="N2990"/>
  <c r="N2989"/>
  <c r="N2987"/>
  <c r="N2988"/>
  <c r="H2895"/>
  <c r="H2894" s="1"/>
  <c r="F609" i="1" s="1"/>
  <c r="J2929" i="2"/>
  <c r="J2928"/>
  <c r="J2927"/>
  <c r="J2926"/>
  <c r="J2925"/>
  <c r="J2924"/>
  <c r="J2923"/>
  <c r="J2922"/>
  <c r="J2921"/>
  <c r="J2920"/>
  <c r="J2919"/>
  <c r="J2918"/>
  <c r="J2917"/>
  <c r="J2916"/>
  <c r="J2915"/>
  <c r="J2914"/>
  <c r="J2913"/>
  <c r="J2912"/>
  <c r="J2911"/>
  <c r="J2910"/>
  <c r="J2909"/>
  <c r="J2908"/>
  <c r="J2907"/>
  <c r="C2906"/>
  <c r="B2906"/>
  <c r="A2906"/>
  <c r="H2946"/>
  <c r="G2948"/>
  <c r="H2933"/>
  <c r="O1655"/>
  <c r="O1656"/>
  <c r="O1657"/>
  <c r="O1658"/>
  <c r="O1659"/>
  <c r="O1660"/>
  <c r="O1661"/>
  <c r="O1662"/>
  <c r="O1663"/>
  <c r="O1664"/>
  <c r="O1665"/>
  <c r="O1666"/>
  <c r="O1667"/>
  <c r="O1668"/>
  <c r="O1669"/>
  <c r="O1670"/>
  <c r="O1671"/>
  <c r="O1672"/>
  <c r="O1673"/>
  <c r="O1674"/>
  <c r="O1675"/>
  <c r="O1676"/>
  <c r="O1677"/>
  <c r="O1678"/>
  <c r="O1679"/>
  <c r="O1680"/>
  <c r="O1681"/>
  <c r="O1682"/>
  <c r="O1683"/>
  <c r="O1684"/>
  <c r="O1685"/>
  <c r="O1687"/>
  <c r="O1688"/>
  <c r="O1689"/>
  <c r="O1690"/>
  <c r="O1691"/>
  <c r="O1692"/>
  <c r="O1654"/>
  <c r="K329"/>
  <c r="J329"/>
  <c r="O290"/>
  <c r="O292"/>
  <c r="O293"/>
  <c r="O289"/>
  <c r="N1336"/>
  <c r="N1337"/>
  <c r="G1335"/>
  <c r="C1335"/>
  <c r="B1335"/>
  <c r="A1335"/>
  <c r="F168" i="5"/>
  <c r="J1271" i="2"/>
  <c r="J1269"/>
  <c r="I1269"/>
  <c r="I1270"/>
  <c r="J1270"/>
  <c r="I1271"/>
  <c r="J1268"/>
  <c r="I1268"/>
  <c r="O240"/>
  <c r="O239"/>
  <c r="O236"/>
  <c r="N238"/>
  <c r="O238" s="1"/>
  <c r="K235"/>
  <c r="O235" s="1"/>
  <c r="O230"/>
  <c r="O211"/>
  <c r="H233"/>
  <c r="O233" s="1"/>
  <c r="J232"/>
  <c r="O232" s="1"/>
  <c r="O210"/>
  <c r="K206"/>
  <c r="O206" s="1"/>
  <c r="H1264"/>
  <c r="F142" i="1" s="1"/>
  <c r="G1267" i="2"/>
  <c r="C1267"/>
  <c r="B1267"/>
  <c r="A1267"/>
  <c r="G1264"/>
  <c r="C1264"/>
  <c r="B1264"/>
  <c r="A1264"/>
  <c r="N209"/>
  <c r="O209" s="1"/>
  <c r="D158" i="1"/>
  <c r="C1325" i="2" s="1"/>
  <c r="A158" i="1"/>
  <c r="A1325" i="2" s="1"/>
  <c r="O207"/>
  <c r="F164" i="5"/>
  <c r="F161"/>
  <c r="F162"/>
  <c r="F163"/>
  <c r="F165"/>
  <c r="F166"/>
  <c r="F167"/>
  <c r="N1309" i="2"/>
  <c r="N1327"/>
  <c r="N1329"/>
  <c r="N1330"/>
  <c r="N1331"/>
  <c r="N1332"/>
  <c r="N1333"/>
  <c r="N1334"/>
  <c r="N1326"/>
  <c r="N1310"/>
  <c r="D151" i="1"/>
  <c r="H204" i="2"/>
  <c r="O204" s="1"/>
  <c r="B1325"/>
  <c r="G1325"/>
  <c r="J203"/>
  <c r="O203" s="1"/>
  <c r="D154" i="1"/>
  <c r="A154"/>
  <c r="D147" i="5"/>
  <c r="F147" s="1"/>
  <c r="F150"/>
  <c r="F151"/>
  <c r="F152"/>
  <c r="F148"/>
  <c r="F149"/>
  <c r="K1313" i="2"/>
  <c r="D153" i="1"/>
  <c r="A153"/>
  <c r="F135" i="5"/>
  <c r="B140" s="1"/>
  <c r="F136"/>
  <c r="F137"/>
  <c r="M1318" i="2"/>
  <c r="N1318" s="1"/>
  <c r="L1319"/>
  <c r="N1319" s="1"/>
  <c r="N1320"/>
  <c r="F125" i="5"/>
  <c r="C2274" i="2"/>
  <c r="B2274"/>
  <c r="A2274"/>
  <c r="H2274"/>
  <c r="F327" i="1" s="1"/>
  <c r="I327" s="1"/>
  <c r="G2274" i="2"/>
  <c r="G2266"/>
  <c r="C2266"/>
  <c r="B2266"/>
  <c r="A2266"/>
  <c r="H2266"/>
  <c r="F323" i="1" s="1"/>
  <c r="I323" s="1"/>
  <c r="A151"/>
  <c r="F123" i="5"/>
  <c r="D117"/>
  <c r="F117" s="1"/>
  <c r="G2270" i="2"/>
  <c r="C2270"/>
  <c r="B2270"/>
  <c r="A2270"/>
  <c r="H2270"/>
  <c r="F325" i="1" s="1"/>
  <c r="G2262" i="2"/>
  <c r="C2262"/>
  <c r="B2262"/>
  <c r="A2262"/>
  <c r="H2262"/>
  <c r="F321" i="1" s="1"/>
  <c r="I321" s="1"/>
  <c r="F122" i="5"/>
  <c r="F118"/>
  <c r="F119"/>
  <c r="F120"/>
  <c r="F121"/>
  <c r="F124"/>
  <c r="F112"/>
  <c r="F113"/>
  <c r="F114"/>
  <c r="F115"/>
  <c r="F116"/>
  <c r="A178" i="1"/>
  <c r="A1519" i="2" s="1"/>
  <c r="D178" i="1"/>
  <c r="C1519" i="2" s="1"/>
  <c r="F101" i="5"/>
  <c r="C105" s="1"/>
  <c r="F100"/>
  <c r="F99"/>
  <c r="G3208" i="2"/>
  <c r="C3208"/>
  <c r="B3208"/>
  <c r="H3208"/>
  <c r="H18" i="8"/>
  <c r="A726" i="1"/>
  <c r="A3208" i="2" s="1"/>
  <c r="F98" i="5"/>
  <c r="F102"/>
  <c r="F97"/>
  <c r="A97"/>
  <c r="M175" i="1"/>
  <c r="C1295" i="2"/>
  <c r="H91" i="10"/>
  <c r="H90"/>
  <c r="H89"/>
  <c r="P1288" i="2"/>
  <c r="G2298"/>
  <c r="C2298"/>
  <c r="B2298"/>
  <c r="A2298"/>
  <c r="H2298"/>
  <c r="F339" i="1" s="1"/>
  <c r="I339" s="1"/>
  <c r="G2296" i="2"/>
  <c r="C2296"/>
  <c r="B2296"/>
  <c r="A2296"/>
  <c r="H2296"/>
  <c r="F338" i="1" s="1"/>
  <c r="I338" s="1"/>
  <c r="N1276" i="2"/>
  <c r="N1277"/>
  <c r="N1278"/>
  <c r="N1279"/>
  <c r="N1280"/>
  <c r="N1281"/>
  <c r="N1282"/>
  <c r="N1283"/>
  <c r="N1284"/>
  <c r="N1285"/>
  <c r="N1286"/>
  <c r="N1287"/>
  <c r="N1288"/>
  <c r="N1289"/>
  <c r="N1290"/>
  <c r="N1291"/>
  <c r="N1292"/>
  <c r="N1293"/>
  <c r="N1294"/>
  <c r="G2294"/>
  <c r="C2294"/>
  <c r="B2294"/>
  <c r="A2294"/>
  <c r="H2294"/>
  <c r="F337" i="1" s="1"/>
  <c r="I337" s="1"/>
  <c r="G2292" i="2"/>
  <c r="C2292"/>
  <c r="B2292"/>
  <c r="A2292"/>
  <c r="H2292"/>
  <c r="F336" i="1" s="1"/>
  <c r="I336" s="1"/>
  <c r="G2290" i="2"/>
  <c r="C2290"/>
  <c r="B2290"/>
  <c r="N1275"/>
  <c r="A2290"/>
  <c r="H2290"/>
  <c r="F335" i="1" s="1"/>
  <c r="I335" s="1"/>
  <c r="G2288" i="2"/>
  <c r="C2288"/>
  <c r="B2288"/>
  <c r="A2288"/>
  <c r="H2288"/>
  <c r="F334" i="1" s="1"/>
  <c r="I334" s="1"/>
  <c r="G2286" i="2"/>
  <c r="C2286"/>
  <c r="B2286"/>
  <c r="A2286"/>
  <c r="H2286"/>
  <c r="F333" i="1" s="1"/>
  <c r="I333" s="1"/>
  <c r="C2284" i="2"/>
  <c r="B2284"/>
  <c r="A2284"/>
  <c r="G2284"/>
  <c r="H2284"/>
  <c r="F332" i="1" s="1"/>
  <c r="I332" s="1"/>
  <c r="G2282" i="2"/>
  <c r="C2282"/>
  <c r="B2282"/>
  <c r="A2282"/>
  <c r="H2282"/>
  <c r="F331" i="1" s="1"/>
  <c r="I331" s="1"/>
  <c r="D140"/>
  <c r="A140"/>
  <c r="A3033" i="2"/>
  <c r="B3033"/>
  <c r="D88" i="5"/>
  <c r="F88" s="1"/>
  <c r="F87"/>
  <c r="F86"/>
  <c r="D91" s="1"/>
  <c r="F85"/>
  <c r="F84"/>
  <c r="F83"/>
  <c r="F82"/>
  <c r="F81"/>
  <c r="F80"/>
  <c r="C91" s="1"/>
  <c r="F79"/>
  <c r="F78"/>
  <c r="J3010" i="2"/>
  <c r="N3010" s="1"/>
  <c r="D139" i="1"/>
  <c r="A139"/>
  <c r="F66" i="5"/>
  <c r="F67"/>
  <c r="H3011" i="2"/>
  <c r="F644" i="1" s="1"/>
  <c r="G3011" i="2"/>
  <c r="C3011"/>
  <c r="B3011"/>
  <c r="A3011"/>
  <c r="F60" i="5"/>
  <c r="F61"/>
  <c r="F62"/>
  <c r="C71" s="1"/>
  <c r="F63"/>
  <c r="F64"/>
  <c r="F65"/>
  <c r="F68"/>
  <c r="D71" s="1"/>
  <c r="F38"/>
  <c r="F39"/>
  <c r="F40"/>
  <c r="F41"/>
  <c r="F42"/>
  <c r="F43"/>
  <c r="F44"/>
  <c r="F45"/>
  <c r="F46"/>
  <c r="F47"/>
  <c r="F48"/>
  <c r="F49"/>
  <c r="F50"/>
  <c r="F51"/>
  <c r="F37"/>
  <c r="H1224" i="2"/>
  <c r="G2280"/>
  <c r="C2280"/>
  <c r="B2280"/>
  <c r="A2280"/>
  <c r="H2280"/>
  <c r="F330" i="1" s="1"/>
  <c r="I330" s="1"/>
  <c r="G2278" i="2"/>
  <c r="C2278"/>
  <c r="B2278"/>
  <c r="A2278"/>
  <c r="G2276"/>
  <c r="C2276"/>
  <c r="B2276"/>
  <c r="A2276"/>
  <c r="H2278"/>
  <c r="F329" i="1" s="1"/>
  <c r="I329" s="1"/>
  <c r="H2276" i="2"/>
  <c r="F328" i="1" s="1"/>
  <c r="I328" s="1"/>
  <c r="G2272" i="2"/>
  <c r="C2272"/>
  <c r="B2272"/>
  <c r="A2272"/>
  <c r="H2272"/>
  <c r="F326" i="1" s="1"/>
  <c r="G2268" i="2"/>
  <c r="C2268"/>
  <c r="B2268"/>
  <c r="A2268"/>
  <c r="H2268"/>
  <c r="F324" i="1" s="1"/>
  <c r="G2264" i="2"/>
  <c r="C2264"/>
  <c r="B2264"/>
  <c r="A2264"/>
  <c r="H2264"/>
  <c r="F322" i="1" s="1"/>
  <c r="I322" s="1"/>
  <c r="G2260" i="2"/>
  <c r="B2258"/>
  <c r="C2260"/>
  <c r="B2260"/>
  <c r="A2260"/>
  <c r="H2260"/>
  <c r="F320" i="1" s="1"/>
  <c r="I320" s="1"/>
  <c r="G2258" i="2"/>
  <c r="C2258"/>
  <c r="A2258"/>
  <c r="C164"/>
  <c r="I326" i="1"/>
  <c r="B22" i="2"/>
  <c r="H2701"/>
  <c r="H2418"/>
  <c r="H102" i="1"/>
  <c r="G45" i="2"/>
  <c r="C45"/>
  <c r="B45"/>
  <c r="A45"/>
  <c r="N45"/>
  <c r="H45"/>
  <c r="F29" i="1" s="1"/>
  <c r="I29" s="1"/>
  <c r="G43" i="2"/>
  <c r="C43"/>
  <c r="B43"/>
  <c r="A43"/>
  <c r="N43"/>
  <c r="H43"/>
  <c r="F28" i="1" s="1"/>
  <c r="I28" s="1"/>
  <c r="H28"/>
  <c r="H29"/>
  <c r="J29" s="1"/>
  <c r="L1146" i="2"/>
  <c r="L1145"/>
  <c r="G1144"/>
  <c r="C1144"/>
  <c r="B1144"/>
  <c r="A1144"/>
  <c r="J1300"/>
  <c r="N1300" s="1"/>
  <c r="G1321"/>
  <c r="C1321"/>
  <c r="B1321"/>
  <c r="A1321"/>
  <c r="N1322"/>
  <c r="N1321" s="1"/>
  <c r="F156" i="1" s="1"/>
  <c r="K1992" i="2"/>
  <c r="N1992" s="1"/>
  <c r="M1991"/>
  <c r="L1991"/>
  <c r="K1991"/>
  <c r="L1990"/>
  <c r="K1990"/>
  <c r="K1989"/>
  <c r="N1989" s="1"/>
  <c r="L1988"/>
  <c r="K1988"/>
  <c r="M1987"/>
  <c r="K1987"/>
  <c r="N1987" s="1"/>
  <c r="G1986"/>
  <c r="C1986"/>
  <c r="B1986"/>
  <c r="A1986"/>
  <c r="K988"/>
  <c r="N988" s="1"/>
  <c r="K987"/>
  <c r="K986"/>
  <c r="M987"/>
  <c r="L987"/>
  <c r="L986"/>
  <c r="K985"/>
  <c r="K984"/>
  <c r="K983"/>
  <c r="H2790"/>
  <c r="N1984"/>
  <c r="F206" i="1" s="1"/>
  <c r="N1982" i="2"/>
  <c r="F205" i="1" s="1"/>
  <c r="G1982" i="2"/>
  <c r="C1982"/>
  <c r="B1982"/>
  <c r="G1984"/>
  <c r="C1984"/>
  <c r="B1984"/>
  <c r="A1984"/>
  <c r="A1982"/>
  <c r="M1974"/>
  <c r="M1971"/>
  <c r="N1972"/>
  <c r="N1973"/>
  <c r="N1975"/>
  <c r="H2768"/>
  <c r="A2771"/>
  <c r="B2771"/>
  <c r="C2771"/>
  <c r="G2771"/>
  <c r="H2771"/>
  <c r="A2768"/>
  <c r="G1905"/>
  <c r="C1905"/>
  <c r="B1905"/>
  <c r="A1905"/>
  <c r="M1907"/>
  <c r="M1908"/>
  <c r="M1909"/>
  <c r="M1910"/>
  <c r="K1911"/>
  <c r="N1911" s="1"/>
  <c r="M1911"/>
  <c r="M1912"/>
  <c r="M1913"/>
  <c r="M1914"/>
  <c r="M1915"/>
  <c r="M1916"/>
  <c r="M1917"/>
  <c r="M1918"/>
  <c r="M1919"/>
  <c r="M1920"/>
  <c r="M1921"/>
  <c r="M1922"/>
  <c r="M1923"/>
  <c r="M1924"/>
  <c r="M1925"/>
  <c r="M1926"/>
  <c r="M1927"/>
  <c r="M1928"/>
  <c r="M1929"/>
  <c r="L1930"/>
  <c r="N1930" s="1"/>
  <c r="M1930"/>
  <c r="M1931"/>
  <c r="K1932"/>
  <c r="N1932" s="1"/>
  <c r="M1932"/>
  <c r="G166"/>
  <c r="G164"/>
  <c r="C166"/>
  <c r="B166"/>
  <c r="A166"/>
  <c r="B164"/>
  <c r="A164"/>
  <c r="H52" i="1"/>
  <c r="H51"/>
  <c r="H66" i="2"/>
  <c r="H64"/>
  <c r="N78"/>
  <c r="F43" i="1" s="1"/>
  <c r="I43" s="1"/>
  <c r="C78" i="2"/>
  <c r="B78"/>
  <c r="A78"/>
  <c r="G78"/>
  <c r="N75"/>
  <c r="F42" i="1" s="1"/>
  <c r="G75" i="2"/>
  <c r="C75"/>
  <c r="B75"/>
  <c r="A75"/>
  <c r="H43" i="1"/>
  <c r="H42"/>
  <c r="G1299" i="2"/>
  <c r="C1299"/>
  <c r="B1299"/>
  <c r="A1299"/>
  <c r="N1299"/>
  <c r="F148" i="1" s="1"/>
  <c r="I148" s="1"/>
  <c r="G2821" i="2"/>
  <c r="A2695"/>
  <c r="B2695"/>
  <c r="C2695"/>
  <c r="G2695"/>
  <c r="C2693"/>
  <c r="G2693"/>
  <c r="B2693"/>
  <c r="A2693"/>
  <c r="H2693"/>
  <c r="F511" i="1" s="1"/>
  <c r="I511" s="1"/>
  <c r="H2646" i="2"/>
  <c r="G2503"/>
  <c r="C2503"/>
  <c r="B2503"/>
  <c r="A2503"/>
  <c r="H2503"/>
  <c r="F429" i="1" s="1"/>
  <c r="I429" s="1"/>
  <c r="G2501" i="2"/>
  <c r="C2501"/>
  <c r="B2501"/>
  <c r="A2501"/>
  <c r="H2501"/>
  <c r="F428" i="1" s="1"/>
  <c r="I428" s="1"/>
  <c r="H2719" i="2"/>
  <c r="C2717"/>
  <c r="H2710"/>
  <c r="F519" i="1" s="1"/>
  <c r="I519" s="1"/>
  <c r="G2710" i="2"/>
  <c r="C2710"/>
  <c r="B2710"/>
  <c r="A2710"/>
  <c r="G2708"/>
  <c r="C2708"/>
  <c r="B2708"/>
  <c r="A2708"/>
  <c r="H2708"/>
  <c r="F518" i="1" s="1"/>
  <c r="I518" s="1"/>
  <c r="G2706" i="2"/>
  <c r="C2706"/>
  <c r="G2621"/>
  <c r="B2706"/>
  <c r="A2706"/>
  <c r="H2706"/>
  <c r="F517" i="1" s="1"/>
  <c r="I517" s="1"/>
  <c r="H2705" i="2"/>
  <c r="H2696"/>
  <c r="H2695" s="1"/>
  <c r="H2703"/>
  <c r="H2700"/>
  <c r="H2699" s="1"/>
  <c r="H2698"/>
  <c r="H2675"/>
  <c r="H2674"/>
  <c r="H2672"/>
  <c r="A3079"/>
  <c r="B3079"/>
  <c r="C3079"/>
  <c r="G3079"/>
  <c r="H3079"/>
  <c r="F663" i="1" s="1"/>
  <c r="G2642" i="2"/>
  <c r="G2640"/>
  <c r="C2642"/>
  <c r="B2642"/>
  <c r="A2642"/>
  <c r="C2640"/>
  <c r="B2640"/>
  <c r="A2640"/>
  <c r="G2637"/>
  <c r="C2637"/>
  <c r="B2637"/>
  <c r="A2637"/>
  <c r="H2637"/>
  <c r="F494" i="1" s="1"/>
  <c r="G2635" i="2"/>
  <c r="C2635"/>
  <c r="B2635"/>
  <c r="A2635"/>
  <c r="H2635"/>
  <c r="F493" i="1" s="1"/>
  <c r="I493" s="1"/>
  <c r="G2633" i="2"/>
  <c r="C2633"/>
  <c r="B2633"/>
  <c r="A2633"/>
  <c r="H2633"/>
  <c r="F492" i="1" s="1"/>
  <c r="G2631" i="2"/>
  <c r="C2631"/>
  <c r="B2631"/>
  <c r="A2631"/>
  <c r="H2631"/>
  <c r="F491" i="1" s="1"/>
  <c r="I491" s="1"/>
  <c r="G2629" i="2"/>
  <c r="C2629"/>
  <c r="B2629"/>
  <c r="A2629"/>
  <c r="H2629"/>
  <c r="F490" i="1" s="1"/>
  <c r="I490" s="1"/>
  <c r="G2627" i="2"/>
  <c r="C2627"/>
  <c r="B2627"/>
  <c r="A2627"/>
  <c r="H2627"/>
  <c r="F489" i="1" s="1"/>
  <c r="I489" s="1"/>
  <c r="I492"/>
  <c r="G2625" i="2"/>
  <c r="C2625"/>
  <c r="B2625"/>
  <c r="A2625"/>
  <c r="H2625"/>
  <c r="F488" i="1" s="1"/>
  <c r="I488" s="1"/>
  <c r="H2640" i="2"/>
  <c r="F495" i="1" s="1"/>
  <c r="H2642" i="2"/>
  <c r="F496" i="1" s="1"/>
  <c r="L3032" i="2"/>
  <c r="L3031"/>
  <c r="L3030" s="1"/>
  <c r="F651" i="1" s="1"/>
  <c r="I651" s="1"/>
  <c r="N3029" i="2"/>
  <c r="N3028"/>
  <c r="C3030"/>
  <c r="B3030"/>
  <c r="A3030"/>
  <c r="C3027"/>
  <c r="B3027"/>
  <c r="A3027"/>
  <c r="N174"/>
  <c r="N173"/>
  <c r="H172"/>
  <c r="N172" s="1"/>
  <c r="N181"/>
  <c r="N177"/>
  <c r="N180" s="1"/>
  <c r="H176"/>
  <c r="N176" s="1"/>
  <c r="G178"/>
  <c r="C178"/>
  <c r="B178"/>
  <c r="A178"/>
  <c r="G175"/>
  <c r="C175"/>
  <c r="B175"/>
  <c r="A175"/>
  <c r="G171"/>
  <c r="C171"/>
  <c r="B171"/>
  <c r="A171"/>
  <c r="H56" i="1"/>
  <c r="N170" i="2"/>
  <c r="N169"/>
  <c r="H54" i="1"/>
  <c r="H55"/>
  <c r="L125" i="2"/>
  <c r="L123"/>
  <c r="H116"/>
  <c r="N125"/>
  <c r="N124"/>
  <c r="O124" s="1"/>
  <c r="N123"/>
  <c r="N122"/>
  <c r="O122" s="1"/>
  <c r="N121"/>
  <c r="O121" s="1"/>
  <c r="N120"/>
  <c r="O120" s="1"/>
  <c r="N119"/>
  <c r="O119" s="1"/>
  <c r="N118"/>
  <c r="O118" s="1"/>
  <c r="N117"/>
  <c r="O117" s="1"/>
  <c r="N116"/>
  <c r="L139"/>
  <c r="O139"/>
  <c r="O106"/>
  <c r="N98"/>
  <c r="N115"/>
  <c r="O115" s="1"/>
  <c r="N130"/>
  <c r="O130" s="1"/>
  <c r="N129"/>
  <c r="O129" s="1"/>
  <c r="G168"/>
  <c r="C168"/>
  <c r="B168"/>
  <c r="A168"/>
  <c r="G154"/>
  <c r="C154"/>
  <c r="B154"/>
  <c r="A154"/>
  <c r="G144"/>
  <c r="C144"/>
  <c r="B144"/>
  <c r="A144"/>
  <c r="L141"/>
  <c r="O141" s="1"/>
  <c r="O138"/>
  <c r="L137"/>
  <c r="O137" s="1"/>
  <c r="O136"/>
  <c r="H53" i="1"/>
  <c r="L133" i="2"/>
  <c r="O133" s="1"/>
  <c r="L135"/>
  <c r="O135" s="1"/>
  <c r="O143"/>
  <c r="O112"/>
  <c r="N82"/>
  <c r="N128"/>
  <c r="O128" s="1"/>
  <c r="N127"/>
  <c r="O111"/>
  <c r="O109"/>
  <c r="O108"/>
  <c r="O107"/>
  <c r="O105"/>
  <c r="O104"/>
  <c r="G131"/>
  <c r="C131"/>
  <c r="B131"/>
  <c r="A131"/>
  <c r="G113"/>
  <c r="C113"/>
  <c r="B113"/>
  <c r="A113"/>
  <c r="N93"/>
  <c r="H19"/>
  <c r="H17"/>
  <c r="H13"/>
  <c r="N84"/>
  <c r="N97"/>
  <c r="N96"/>
  <c r="N95"/>
  <c r="N87"/>
  <c r="N86"/>
  <c r="N85"/>
  <c r="G102"/>
  <c r="C102"/>
  <c r="B102"/>
  <c r="A102"/>
  <c r="G91"/>
  <c r="C91"/>
  <c r="B91"/>
  <c r="A91"/>
  <c r="N94"/>
  <c r="N83"/>
  <c r="G80"/>
  <c r="B80"/>
  <c r="C80"/>
  <c r="A80"/>
  <c r="F99" i="1"/>
  <c r="G852" i="2"/>
  <c r="C852"/>
  <c r="B852"/>
  <c r="H852"/>
  <c r="A99" i="1"/>
  <c r="A852" i="2" s="1"/>
  <c r="H25" i="8"/>
  <c r="N1961" i="2"/>
  <c r="H2612"/>
  <c r="D203" i="1"/>
  <c r="M1960" i="2"/>
  <c r="K1960"/>
  <c r="N1960" s="1"/>
  <c r="M1959"/>
  <c r="M1958"/>
  <c r="L1958"/>
  <c r="N1958" s="1"/>
  <c r="M1957"/>
  <c r="M1956"/>
  <c r="M1955"/>
  <c r="M1954"/>
  <c r="M1953"/>
  <c r="M1952"/>
  <c r="M1951"/>
  <c r="M1950"/>
  <c r="M1949"/>
  <c r="M1948"/>
  <c r="M1947"/>
  <c r="M1946"/>
  <c r="M1945"/>
  <c r="M1944"/>
  <c r="M1943"/>
  <c r="M1942"/>
  <c r="M1941"/>
  <c r="M1940"/>
  <c r="M1939"/>
  <c r="K1939"/>
  <c r="N1939" s="1"/>
  <c r="M1938"/>
  <c r="M1937"/>
  <c r="M1936"/>
  <c r="M1935"/>
  <c r="K1904"/>
  <c r="N1904" s="1"/>
  <c r="M1883"/>
  <c r="K1883"/>
  <c r="N1883" s="1"/>
  <c r="H2602"/>
  <c r="H2601" s="1"/>
  <c r="F476" i="1" s="1"/>
  <c r="M1904" i="2"/>
  <c r="M1903"/>
  <c r="M1902"/>
  <c r="L1902"/>
  <c r="N1902" s="1"/>
  <c r="M1901"/>
  <c r="M1900"/>
  <c r="M1899"/>
  <c r="M1898"/>
  <c r="M1897"/>
  <c r="M1896"/>
  <c r="M1895"/>
  <c r="M1894"/>
  <c r="M1893"/>
  <c r="M1892"/>
  <c r="M1891"/>
  <c r="M1890"/>
  <c r="M1889"/>
  <c r="M1888"/>
  <c r="M1887"/>
  <c r="M1886"/>
  <c r="M1885"/>
  <c r="M1884"/>
  <c r="M1882"/>
  <c r="M1881"/>
  <c r="M1880"/>
  <c r="M1879"/>
  <c r="H2600"/>
  <c r="H2599" s="1"/>
  <c r="M1498"/>
  <c r="N1498" s="1"/>
  <c r="M1497"/>
  <c r="N1497" s="1"/>
  <c r="N1502"/>
  <c r="N1501"/>
  <c r="N1504"/>
  <c r="N1503"/>
  <c r="N1500"/>
  <c r="N1499"/>
  <c r="N1496"/>
  <c r="N1495"/>
  <c r="H2557"/>
  <c r="H2516"/>
  <c r="H2506"/>
  <c r="G2447"/>
  <c r="C2447"/>
  <c r="B2447"/>
  <c r="A2447"/>
  <c r="H2447"/>
  <c r="F408" i="1" s="1"/>
  <c r="I408" s="1"/>
  <c r="G2445" i="2"/>
  <c r="C2445"/>
  <c r="B2445"/>
  <c r="A2445"/>
  <c r="H2445"/>
  <c r="F407" i="1" s="1"/>
  <c r="I407" s="1"/>
  <c r="G2443" i="2"/>
  <c r="C2443"/>
  <c r="B2443"/>
  <c r="A2443"/>
  <c r="H2443"/>
  <c r="F406" i="1" s="1"/>
  <c r="I406" s="1"/>
  <c r="G2441" i="2"/>
  <c r="C2441"/>
  <c r="B2441"/>
  <c r="A2441"/>
  <c r="H2441"/>
  <c r="F405" i="1" s="1"/>
  <c r="I405" s="1"/>
  <c r="F404"/>
  <c r="I404" s="1"/>
  <c r="G2439" i="2"/>
  <c r="C2439"/>
  <c r="B2439"/>
  <c r="A2439"/>
  <c r="H2439"/>
  <c r="C2449"/>
  <c r="J2436"/>
  <c r="J2435" s="1"/>
  <c r="F402" i="1" s="1"/>
  <c r="C854" i="2"/>
  <c r="B854"/>
  <c r="G1138"/>
  <c r="C1138"/>
  <c r="B1138"/>
  <c r="A1138"/>
  <c r="N1139"/>
  <c r="N1138" s="1"/>
  <c r="F121" i="1" s="1"/>
  <c r="I121" s="1"/>
  <c r="H121"/>
  <c r="H122"/>
  <c r="N1137" i="2"/>
  <c r="J1151"/>
  <c r="L1151" s="1"/>
  <c r="M1483"/>
  <c r="N1483" s="1"/>
  <c r="M1482"/>
  <c r="N1482" s="1"/>
  <c r="M1491"/>
  <c r="N1491" s="1"/>
  <c r="M1492"/>
  <c r="N1492" s="1"/>
  <c r="M1488"/>
  <c r="N1488" s="1"/>
  <c r="M1487"/>
  <c r="N1487" s="1"/>
  <c r="M1486"/>
  <c r="N1486" s="1"/>
  <c r="M1485"/>
  <c r="N1485" s="1"/>
  <c r="M1484"/>
  <c r="N1484" s="1"/>
  <c r="M1493"/>
  <c r="N1493" s="1"/>
  <c r="M1489"/>
  <c r="N1489" s="1"/>
  <c r="M1480"/>
  <c r="N1480" s="1"/>
  <c r="M1481"/>
  <c r="N1481" s="1"/>
  <c r="M1490"/>
  <c r="N1490" s="1"/>
  <c r="C2535"/>
  <c r="B2535"/>
  <c r="A2535"/>
  <c r="G2535"/>
  <c r="F444" i="1"/>
  <c r="I444" s="1"/>
  <c r="H2534" i="2"/>
  <c r="H2533" s="1"/>
  <c r="G1479"/>
  <c r="C1479"/>
  <c r="B1479"/>
  <c r="A1479"/>
  <c r="C1494"/>
  <c r="M1478"/>
  <c r="N1478" s="1"/>
  <c r="D169" i="1"/>
  <c r="A169"/>
  <c r="H11" i="8"/>
  <c r="F22" i="5"/>
  <c r="F23"/>
  <c r="F25"/>
  <c r="F26"/>
  <c r="F27"/>
  <c r="F21"/>
  <c r="L1472" i="2"/>
  <c r="L1470" s="1"/>
  <c r="N1553"/>
  <c r="G1563"/>
  <c r="C1563"/>
  <c r="B1563"/>
  <c r="C1562"/>
  <c r="C1561"/>
  <c r="B1561"/>
  <c r="H1509"/>
  <c r="H1511"/>
  <c r="F175" i="1" s="1"/>
  <c r="I175" s="1"/>
  <c r="C1511" i="2"/>
  <c r="A1511"/>
  <c r="B1511"/>
  <c r="G1511"/>
  <c r="N1519"/>
  <c r="F486" i="1"/>
  <c r="A1528" i="2"/>
  <c r="C1528"/>
  <c r="B1528"/>
  <c r="B1519"/>
  <c r="A1515"/>
  <c r="G1515"/>
  <c r="C1515"/>
  <c r="B1515"/>
  <c r="A1509"/>
  <c r="C1509"/>
  <c r="B1509"/>
  <c r="F174" i="1"/>
  <c r="H1507" i="2"/>
  <c r="F173" i="1" s="1"/>
  <c r="A1507" i="2"/>
  <c r="C1507"/>
  <c r="B1507"/>
  <c r="H44" i="1"/>
  <c r="H45"/>
  <c r="H46"/>
  <c r="H47"/>
  <c r="H48"/>
  <c r="H49"/>
  <c r="H50"/>
  <c r="C7"/>
  <c r="N1844" i="2"/>
  <c r="N1843" s="1"/>
  <c r="F194" i="1" s="1"/>
  <c r="N1839" i="2"/>
  <c r="N1865"/>
  <c r="N1871"/>
  <c r="N1855"/>
  <c r="C1854"/>
  <c r="B1854"/>
  <c r="H2314"/>
  <c r="H2313" s="1"/>
  <c r="A1835"/>
  <c r="C1848"/>
  <c r="B1848"/>
  <c r="F195" i="1"/>
  <c r="C1843" i="2"/>
  <c r="B1843"/>
  <c r="C1838"/>
  <c r="B1838"/>
  <c r="C1835"/>
  <c r="B1835"/>
  <c r="C1832"/>
  <c r="B1832"/>
  <c r="A1832"/>
  <c r="C1831"/>
  <c r="B1831"/>
  <c r="C1786"/>
  <c r="B1786"/>
  <c r="A1786"/>
  <c r="C1745"/>
  <c r="A1745"/>
  <c r="B1745"/>
  <c r="C1514"/>
  <c r="B1514"/>
  <c r="C1506"/>
  <c r="B1506"/>
  <c r="A1698"/>
  <c r="C1698"/>
  <c r="N1563"/>
  <c r="F16" i="12" l="1"/>
  <c r="F7"/>
  <c r="G7" s="1"/>
  <c r="N1270" i="2"/>
  <c r="F14" i="5"/>
  <c r="F726" i="1"/>
  <c r="E16" i="12"/>
  <c r="O134" i="2"/>
  <c r="J335" i="1"/>
  <c r="J519"/>
  <c r="N986" i="2"/>
  <c r="J334" i="1"/>
  <c r="J405"/>
  <c r="N1269" i="2"/>
  <c r="N1271"/>
  <c r="O925"/>
  <c r="F103" i="1" s="1"/>
  <c r="I103" s="1"/>
  <c r="N1996" i="2"/>
  <c r="J488" i="1"/>
  <c r="J518"/>
  <c r="J339"/>
  <c r="J337"/>
  <c r="J333"/>
  <c r="J492"/>
  <c r="J326"/>
  <c r="J332"/>
  <c r="J619"/>
  <c r="J458"/>
  <c r="J407"/>
  <c r="J295"/>
  <c r="J331"/>
  <c r="J327"/>
  <c r="J637"/>
  <c r="J408"/>
  <c r="J404"/>
  <c r="J491"/>
  <c r="J338"/>
  <c r="J297"/>
  <c r="J258"/>
  <c r="N3027" i="2"/>
  <c r="F650" i="1" s="1"/>
  <c r="I650" s="1"/>
  <c r="J43"/>
  <c r="J321"/>
  <c r="N1308" i="2"/>
  <c r="J208" i="1"/>
  <c r="J147"/>
  <c r="J157"/>
  <c r="O253" i="2"/>
  <c r="O264" s="1"/>
  <c r="B105" i="5"/>
  <c r="F105" s="1"/>
  <c r="F98" i="1"/>
  <c r="I98" s="1"/>
  <c r="F97"/>
  <c r="J175"/>
  <c r="J511"/>
  <c r="O702" i="2"/>
  <c r="J3023"/>
  <c r="J165" i="1"/>
  <c r="J406"/>
  <c r="N171" i="2"/>
  <c r="O150" s="1"/>
  <c r="O160" s="1"/>
  <c r="J62" i="1"/>
  <c r="C30" i="5"/>
  <c r="J328" i="1"/>
  <c r="J330"/>
  <c r="J2906" i="2"/>
  <c r="F615" i="1" s="1"/>
  <c r="I615" s="1"/>
  <c r="N1274" i="2"/>
  <c r="F145" i="1" s="1"/>
  <c r="D128" i="5"/>
  <c r="C186"/>
  <c r="L1144" i="2"/>
  <c r="F124" i="1" s="1"/>
  <c r="I124" s="1"/>
  <c r="J329"/>
  <c r="N1268" i="2"/>
  <c r="I147" i="1"/>
  <c r="J148"/>
  <c r="J322"/>
  <c r="J336"/>
  <c r="B53" i="5"/>
  <c r="I208" i="1"/>
  <c r="I128"/>
  <c r="J128"/>
  <c r="J214"/>
  <c r="I214"/>
  <c r="J650"/>
  <c r="I42"/>
  <c r="J42"/>
  <c r="J156"/>
  <c r="I156"/>
  <c r="J294"/>
  <c r="I294"/>
  <c r="I296"/>
  <c r="J296"/>
  <c r="I206"/>
  <c r="J206"/>
  <c r="J205"/>
  <c r="I205"/>
  <c r="I213"/>
  <c r="J213"/>
  <c r="J444"/>
  <c r="N80" i="2"/>
  <c r="N145" s="1"/>
  <c r="O145" s="1"/>
  <c r="J493" i="1"/>
  <c r="J489"/>
  <c r="J517"/>
  <c r="J428"/>
  <c r="J323"/>
  <c r="J103"/>
  <c r="L3044" i="2"/>
  <c r="F655" i="1" s="1"/>
  <c r="J655" s="1"/>
  <c r="N1152" i="2"/>
  <c r="F127" i="1" s="1"/>
  <c r="I127" s="1"/>
  <c r="J670"/>
  <c r="J121"/>
  <c r="J651"/>
  <c r="J490"/>
  <c r="J429"/>
  <c r="N987" i="2"/>
  <c r="J28" i="1"/>
  <c r="J320"/>
  <c r="J189"/>
  <c r="J452"/>
  <c r="O102" i="2"/>
  <c r="F46" i="1" s="1"/>
  <c r="N168" i="2"/>
  <c r="O149" s="1"/>
  <c r="O159" s="1"/>
  <c r="N329"/>
  <c r="O243"/>
  <c r="O506"/>
  <c r="O265"/>
  <c r="O263" s="1"/>
  <c r="F65" i="1" s="1"/>
  <c r="C323" i="6"/>
  <c r="F323" s="1"/>
  <c r="J494" i="1" s="1"/>
  <c r="O142" i="2"/>
  <c r="O131" s="1"/>
  <c r="O148" s="1"/>
  <c r="F64" i="1"/>
  <c r="N1997" i="2"/>
  <c r="N1999"/>
  <c r="N2000"/>
  <c r="N1988"/>
  <c r="N1990"/>
  <c r="N1991"/>
  <c r="N1335"/>
  <c r="F159" i="1" s="1"/>
  <c r="N2002" i="2"/>
  <c r="F210" i="1" s="1"/>
  <c r="H10" i="2"/>
  <c r="F13" i="1"/>
  <c r="I15"/>
  <c r="J15"/>
  <c r="N989" i="2"/>
  <c r="F110" i="1" s="1"/>
  <c r="J2971" i="2"/>
  <c r="O2971" s="1"/>
  <c r="O2970" s="1"/>
  <c r="F629" i="1" s="1"/>
  <c r="J2968" i="2"/>
  <c r="F628" i="1" s="1"/>
  <c r="I655"/>
  <c r="B186" i="5"/>
  <c r="N928" i="2"/>
  <c r="F104" i="1" s="1"/>
  <c r="B171" i="5"/>
  <c r="N2986" i="2"/>
  <c r="I142" i="1"/>
  <c r="J142"/>
  <c r="C171" i="5"/>
  <c r="C155"/>
  <c r="B155"/>
  <c r="N1325" i="2"/>
  <c r="C140" i="5"/>
  <c r="F140" s="1"/>
  <c r="N1317" i="2"/>
  <c r="B128" i="5"/>
  <c r="I324" i="1"/>
  <c r="J324"/>
  <c r="I325"/>
  <c r="J325"/>
  <c r="C128" i="5"/>
  <c r="B91"/>
  <c r="F91" s="1"/>
  <c r="B71"/>
  <c r="F71" s="1"/>
  <c r="C53"/>
  <c r="D30"/>
  <c r="N1528" i="2"/>
  <c r="F179" i="1" s="1"/>
  <c r="N1905" i="2"/>
  <c r="I495" i="1"/>
  <c r="J495"/>
  <c r="I496"/>
  <c r="J496"/>
  <c r="N179" i="2"/>
  <c r="N178" s="1"/>
  <c r="N175"/>
  <c r="O155"/>
  <c r="N155"/>
  <c r="O116"/>
  <c r="O123"/>
  <c r="O125"/>
  <c r="O127"/>
  <c r="N91"/>
  <c r="F45" i="1" s="1"/>
  <c r="F44"/>
  <c r="N1479" i="2"/>
  <c r="F170" i="1" s="1"/>
  <c r="N1854" i="2"/>
  <c r="F196" i="1" s="1"/>
  <c r="G16" i="12" l="1"/>
  <c r="I16" s="1"/>
  <c r="J16" s="1"/>
  <c r="H16"/>
  <c r="O146" i="2"/>
  <c r="F54" i="1"/>
  <c r="N1267" i="2"/>
  <c r="F143" i="1" s="1"/>
  <c r="J143" s="1"/>
  <c r="J98"/>
  <c r="J124"/>
  <c r="F155" i="5"/>
  <c r="O113" i="2"/>
  <c r="O147" s="1"/>
  <c r="F171" i="5"/>
  <c r="I494" i="1"/>
  <c r="F53"/>
  <c r="J53" s="1"/>
  <c r="J615"/>
  <c r="F53" i="5"/>
  <c r="I644" i="1" s="1"/>
  <c r="F186" i="5"/>
  <c r="J127" i="1"/>
  <c r="J97"/>
  <c r="I97"/>
  <c r="F48"/>
  <c r="J48" s="1"/>
  <c r="I46"/>
  <c r="J46"/>
  <c r="I64"/>
  <c r="J64"/>
  <c r="I65"/>
  <c r="J65"/>
  <c r="N1995" i="2"/>
  <c r="F209" i="1" s="1"/>
  <c r="N1986" i="2"/>
  <c r="F207" i="1" s="1"/>
  <c r="I210"/>
  <c r="J210"/>
  <c r="I13"/>
  <c r="J13"/>
  <c r="I110"/>
  <c r="J110"/>
  <c r="I628"/>
  <c r="J628"/>
  <c r="I629"/>
  <c r="J629"/>
  <c r="I104"/>
  <c r="J104"/>
  <c r="I159"/>
  <c r="J159"/>
  <c r="F128" i="5"/>
  <c r="I179" i="1"/>
  <c r="J179"/>
  <c r="F55"/>
  <c r="I55" s="1"/>
  <c r="O151" i="2"/>
  <c r="O161" s="1"/>
  <c r="F56" i="1"/>
  <c r="J56" s="1"/>
  <c r="O152" i="2"/>
  <c r="O162" s="1"/>
  <c r="I54" i="1"/>
  <c r="J54"/>
  <c r="I53"/>
  <c r="O156" i="2"/>
  <c r="O158"/>
  <c r="F47" i="1"/>
  <c r="J47" s="1"/>
  <c r="I48"/>
  <c r="I45"/>
  <c r="J45"/>
  <c r="I44"/>
  <c r="J44"/>
  <c r="I170"/>
  <c r="J170"/>
  <c r="I196"/>
  <c r="J196"/>
  <c r="J194"/>
  <c r="I194"/>
  <c r="H35" i="8"/>
  <c r="H28"/>
  <c r="H21"/>
  <c r="H14"/>
  <c r="E24" i="5" s="1"/>
  <c r="F24" s="1"/>
  <c r="B30" s="1"/>
  <c r="F30" s="1"/>
  <c r="H4" i="8"/>
  <c r="H7" s="1"/>
  <c r="I143" i="1" l="1"/>
  <c r="J644"/>
  <c r="I56"/>
  <c r="I99"/>
  <c r="H99"/>
  <c r="J99" s="1"/>
  <c r="I47"/>
  <c r="O153" i="2"/>
  <c r="O144" s="1"/>
  <c r="F49" i="1" s="1"/>
  <c r="I49" s="1"/>
  <c r="J55"/>
  <c r="I209"/>
  <c r="J209"/>
  <c r="I207"/>
  <c r="J207"/>
  <c r="O157" i="2"/>
  <c r="O163" s="1"/>
  <c r="O154" s="1"/>
  <c r="J49" i="1" l="1"/>
  <c r="O167" i="2"/>
  <c r="H167" s="1"/>
  <c r="H166" s="1"/>
  <c r="F52" i="1" s="1"/>
  <c r="O165" i="2"/>
  <c r="H165" s="1"/>
  <c r="H164" s="1"/>
  <c r="F51" i="1" s="1"/>
  <c r="I195"/>
  <c r="J195"/>
  <c r="R1428" i="2"/>
  <c r="R1426"/>
  <c r="R1427" s="1"/>
  <c r="B982"/>
  <c r="A982"/>
  <c r="L1220"/>
  <c r="N1220" s="1"/>
  <c r="N1219" s="1"/>
  <c r="F135" i="1" s="1"/>
  <c r="I135" s="1"/>
  <c r="G1219" i="2"/>
  <c r="C1219"/>
  <c r="A1219"/>
  <c r="B1219"/>
  <c r="O1737"/>
  <c r="O1736"/>
  <c r="O1735"/>
  <c r="O1734"/>
  <c r="O1733"/>
  <c r="O1732"/>
  <c r="O1730"/>
  <c r="O1729"/>
  <c r="O1728"/>
  <c r="O1727"/>
  <c r="O1726"/>
  <c r="O1725"/>
  <c r="O1724"/>
  <c r="O1723"/>
  <c r="O1722"/>
  <c r="O1721"/>
  <c r="O1720"/>
  <c r="O1719"/>
  <c r="O1718"/>
  <c r="O1717"/>
  <c r="O1716"/>
  <c r="O1715"/>
  <c r="O1714"/>
  <c r="O1713"/>
  <c r="O1712"/>
  <c r="O1711"/>
  <c r="O1710"/>
  <c r="O1709"/>
  <c r="O1708"/>
  <c r="O1707"/>
  <c r="O1706"/>
  <c r="O1705"/>
  <c r="O1704"/>
  <c r="O1703"/>
  <c r="O1702"/>
  <c r="O1701"/>
  <c r="O1700"/>
  <c r="O1699"/>
  <c r="B1698"/>
  <c r="B1744"/>
  <c r="C1744"/>
  <c r="A1563"/>
  <c r="B1562"/>
  <c r="L1820"/>
  <c r="N1745"/>
  <c r="F187" i="1" s="1"/>
  <c r="N1820" i="2" l="1"/>
  <c r="N1786" s="1"/>
  <c r="F188" i="1" s="1"/>
  <c r="J188" s="1"/>
  <c r="F182"/>
  <c r="I182" s="1"/>
  <c r="N1608" i="2"/>
  <c r="F183" i="1" s="1"/>
  <c r="O1686" i="2"/>
  <c r="I51" i="1"/>
  <c r="J51"/>
  <c r="I52"/>
  <c r="J52"/>
  <c r="F50"/>
  <c r="O1731" i="2"/>
  <c r="J135" i="1"/>
  <c r="L1467" i="2"/>
  <c r="N1467" s="1"/>
  <c r="L1466"/>
  <c r="N1466" s="1"/>
  <c r="L1465"/>
  <c r="N1465" s="1"/>
  <c r="N1464"/>
  <c r="N1463"/>
  <c r="N1462"/>
  <c r="N1461"/>
  <c r="L1459"/>
  <c r="N1459" s="1"/>
  <c r="M1458"/>
  <c r="N1458" s="1"/>
  <c r="M1457"/>
  <c r="N1457" s="1"/>
  <c r="M1456"/>
  <c r="N1456" s="1"/>
  <c r="M1455"/>
  <c r="N1455" s="1"/>
  <c r="M1454"/>
  <c r="N1454" s="1"/>
  <c r="M1453"/>
  <c r="N1453" s="1"/>
  <c r="M1452"/>
  <c r="N1452" s="1"/>
  <c r="M1451"/>
  <c r="N1451" s="1"/>
  <c r="M1450"/>
  <c r="L1450"/>
  <c r="M1449"/>
  <c r="N1449" s="1"/>
  <c r="M1448"/>
  <c r="N1448" s="1"/>
  <c r="M1447"/>
  <c r="N1447" s="1"/>
  <c r="M1446"/>
  <c r="N1446" s="1"/>
  <c r="M1445"/>
  <c r="N1445" s="1"/>
  <c r="M1444"/>
  <c r="N1444" s="1"/>
  <c r="M1443"/>
  <c r="N1443" s="1"/>
  <c r="M1442"/>
  <c r="N1442" s="1"/>
  <c r="M1441"/>
  <c r="N1441" s="1"/>
  <c r="M1440"/>
  <c r="N1440" s="1"/>
  <c r="M1439"/>
  <c r="N1439" s="1"/>
  <c r="M1438"/>
  <c r="N1438" s="1"/>
  <c r="M1437"/>
  <c r="N1437" s="1"/>
  <c r="M1436"/>
  <c r="N1436" s="1"/>
  <c r="M1435"/>
  <c r="N1435" s="1"/>
  <c r="M1434"/>
  <c r="N1434" s="1"/>
  <c r="M1433"/>
  <c r="N1433" s="1"/>
  <c r="M1432"/>
  <c r="N1432" s="1"/>
  <c r="M1431"/>
  <c r="N1431" s="1"/>
  <c r="M1430"/>
  <c r="N1430" s="1"/>
  <c r="M1429"/>
  <c r="N1429" s="1"/>
  <c r="M1428"/>
  <c r="N1428" s="1"/>
  <c r="M1427"/>
  <c r="N1427" s="1"/>
  <c r="M1426"/>
  <c r="N1426" s="1"/>
  <c r="M1425"/>
  <c r="N1425" s="1"/>
  <c r="M1424"/>
  <c r="N1424" s="1"/>
  <c r="M1423"/>
  <c r="N1423" s="1"/>
  <c r="M1422"/>
  <c r="N1422" s="1"/>
  <c r="M1421"/>
  <c r="N1421" s="1"/>
  <c r="M1420"/>
  <c r="N1420" s="1"/>
  <c r="M1419"/>
  <c r="N1419" s="1"/>
  <c r="M1418"/>
  <c r="N1418" s="1"/>
  <c r="M1414"/>
  <c r="N1414" s="1"/>
  <c r="M1413"/>
  <c r="N1413" s="1"/>
  <c r="M1412"/>
  <c r="N1412" s="1"/>
  <c r="M1411"/>
  <c r="N1411" s="1"/>
  <c r="M1410"/>
  <c r="N1410" s="1"/>
  <c r="M1409"/>
  <c r="N1409" s="1"/>
  <c r="M1408"/>
  <c r="N1408" s="1"/>
  <c r="M1407"/>
  <c r="N1407" s="1"/>
  <c r="M1406"/>
  <c r="N1406" s="1"/>
  <c r="M1405"/>
  <c r="N1405" s="1"/>
  <c r="M1404"/>
  <c r="N1404" s="1"/>
  <c r="M1403"/>
  <c r="N1403" s="1"/>
  <c r="M1402"/>
  <c r="N1402" s="1"/>
  <c r="M1401"/>
  <c r="N1401" s="1"/>
  <c r="M1399"/>
  <c r="N1399" s="1"/>
  <c r="M1400"/>
  <c r="N1400" s="1"/>
  <c r="M1398"/>
  <c r="N1398" s="1"/>
  <c r="M1386"/>
  <c r="N1386" s="1"/>
  <c r="M1385"/>
  <c r="N1385" s="1"/>
  <c r="M1384"/>
  <c r="N1384" s="1"/>
  <c r="M1383"/>
  <c r="N1383" s="1"/>
  <c r="M1382"/>
  <c r="N1382" s="1"/>
  <c r="M1381"/>
  <c r="N1381" s="1"/>
  <c r="M1380"/>
  <c r="N1380" s="1"/>
  <c r="M1379"/>
  <c r="N1379" s="1"/>
  <c r="M1378"/>
  <c r="M1377"/>
  <c r="N1377" s="1"/>
  <c r="M1376"/>
  <c r="N1376" s="1"/>
  <c r="M1375"/>
  <c r="N1375" s="1"/>
  <c r="M1374"/>
  <c r="N1374" s="1"/>
  <c r="M1373"/>
  <c r="N1373" s="1"/>
  <c r="M1372"/>
  <c r="N1372" s="1"/>
  <c r="M1371"/>
  <c r="N1371" s="1"/>
  <c r="M1370"/>
  <c r="N1370" s="1"/>
  <c r="M1368"/>
  <c r="N1368" s="1"/>
  <c r="M1369"/>
  <c r="N1369" s="1"/>
  <c r="M1367"/>
  <c r="N1367" s="1"/>
  <c r="M1366"/>
  <c r="N1366" s="1"/>
  <c r="M1365"/>
  <c r="N1365" s="1"/>
  <c r="M1364"/>
  <c r="N1364" s="1"/>
  <c r="M1363"/>
  <c r="N1363" s="1"/>
  <c r="M1362"/>
  <c r="N1362" s="1"/>
  <c r="M1361"/>
  <c r="N1361" s="1"/>
  <c r="M1360"/>
  <c r="N1360" s="1"/>
  <c r="M1359"/>
  <c r="N1359" s="1"/>
  <c r="M1358"/>
  <c r="N1358" s="1"/>
  <c r="M1357"/>
  <c r="N1357" s="1"/>
  <c r="M1356"/>
  <c r="N1356" s="1"/>
  <c r="M1355"/>
  <c r="N1355" s="1"/>
  <c r="M1354"/>
  <c r="N1354" s="1"/>
  <c r="M1353"/>
  <c r="N1353" s="1"/>
  <c r="M1352"/>
  <c r="N1352" s="1"/>
  <c r="M1351"/>
  <c r="N1351" s="1"/>
  <c r="M1350"/>
  <c r="N1350" s="1"/>
  <c r="M1349"/>
  <c r="N1349" s="1"/>
  <c r="M1348"/>
  <c r="N1348" s="1"/>
  <c r="M1347"/>
  <c r="N1347" s="1"/>
  <c r="M1346"/>
  <c r="N1346" s="1"/>
  <c r="L1395"/>
  <c r="N1395" s="1"/>
  <c r="L1394"/>
  <c r="N1394" s="1"/>
  <c r="N1391"/>
  <c r="L1393"/>
  <c r="N1393" s="1"/>
  <c r="N1392"/>
  <c r="L1387"/>
  <c r="N1387" s="1"/>
  <c r="N1389"/>
  <c r="N1390"/>
  <c r="L1378"/>
  <c r="C1198"/>
  <c r="L1206"/>
  <c r="N1206" s="1"/>
  <c r="L1205"/>
  <c r="N1205" s="1"/>
  <c r="L1200"/>
  <c r="N1200" s="1"/>
  <c r="L1201"/>
  <c r="N1201" s="1"/>
  <c r="L1203"/>
  <c r="N1203" s="1"/>
  <c r="L1202"/>
  <c r="N1202" s="1"/>
  <c r="N894"/>
  <c r="N895"/>
  <c r="N896"/>
  <c r="N897"/>
  <c r="N898"/>
  <c r="N899"/>
  <c r="N900"/>
  <c r="N901"/>
  <c r="N902"/>
  <c r="N903"/>
  <c r="N904"/>
  <c r="N905"/>
  <c r="N906"/>
  <c r="N907"/>
  <c r="N908"/>
  <c r="N909"/>
  <c r="N910"/>
  <c r="N911"/>
  <c r="N912"/>
  <c r="N913"/>
  <c r="N914"/>
  <c r="N915"/>
  <c r="N916"/>
  <c r="N917"/>
  <c r="N918"/>
  <c r="N919"/>
  <c r="N920"/>
  <c r="N921"/>
  <c r="N893"/>
  <c r="N887"/>
  <c r="N888"/>
  <c r="N889"/>
  <c r="N890"/>
  <c r="N891"/>
  <c r="N874"/>
  <c r="N875"/>
  <c r="N876"/>
  <c r="N877"/>
  <c r="N878"/>
  <c r="N879"/>
  <c r="N880"/>
  <c r="N881"/>
  <c r="N882"/>
  <c r="N883"/>
  <c r="N884"/>
  <c r="N885"/>
  <c r="N886"/>
  <c r="N858"/>
  <c r="N859"/>
  <c r="N860"/>
  <c r="N861"/>
  <c r="N862"/>
  <c r="N863"/>
  <c r="N864"/>
  <c r="N865"/>
  <c r="N866"/>
  <c r="N867"/>
  <c r="N868"/>
  <c r="N869"/>
  <c r="N870"/>
  <c r="N871"/>
  <c r="N872"/>
  <c r="N873"/>
  <c r="N857"/>
  <c r="N1218"/>
  <c r="N1214" s="1"/>
  <c r="L1213"/>
  <c r="N1212"/>
  <c r="N1197"/>
  <c r="N1193" s="1"/>
  <c r="N1180"/>
  <c r="N1181"/>
  <c r="N1182"/>
  <c r="N1183"/>
  <c r="N1184"/>
  <c r="K1179"/>
  <c r="N1179" s="1"/>
  <c r="K1178"/>
  <c r="N1178" s="1"/>
  <c r="K1177"/>
  <c r="N1177" s="1"/>
  <c r="K1176"/>
  <c r="N1176" s="1"/>
  <c r="K1175"/>
  <c r="N1175" s="1"/>
  <c r="K1174"/>
  <c r="N1174" s="1"/>
  <c r="K1172"/>
  <c r="I1172"/>
  <c r="N1161"/>
  <c r="N1162"/>
  <c r="N1163"/>
  <c r="N1164"/>
  <c r="N1165"/>
  <c r="N1166"/>
  <c r="N1167"/>
  <c r="N1169"/>
  <c r="N1170"/>
  <c r="N1160"/>
  <c r="L1090"/>
  <c r="L1091"/>
  <c r="L1092"/>
  <c r="L1093"/>
  <c r="L1094"/>
  <c r="L1095"/>
  <c r="L1096"/>
  <c r="L1097"/>
  <c r="L1098"/>
  <c r="L1099"/>
  <c r="L1100"/>
  <c r="L1101"/>
  <c r="L1102"/>
  <c r="L1103"/>
  <c r="L1104"/>
  <c r="L1105"/>
  <c r="L1106"/>
  <c r="L1108"/>
  <c r="L1109"/>
  <c r="L1111"/>
  <c r="L1112"/>
  <c r="L1113"/>
  <c r="L1114"/>
  <c r="L1115"/>
  <c r="L1116"/>
  <c r="L1117"/>
  <c r="L1118"/>
  <c r="L1119"/>
  <c r="L1120"/>
  <c r="L1121"/>
  <c r="L1122"/>
  <c r="L1123"/>
  <c r="L1125"/>
  <c r="L1126"/>
  <c r="L1127"/>
  <c r="L1128"/>
  <c r="C1135"/>
  <c r="C1136"/>
  <c r="G1136"/>
  <c r="C1140"/>
  <c r="G1140"/>
  <c r="J1140"/>
  <c r="L1172"/>
  <c r="L1049"/>
  <c r="L1050"/>
  <c r="L1051"/>
  <c r="L1052"/>
  <c r="L1053"/>
  <c r="L1054"/>
  <c r="L1055"/>
  <c r="L1056"/>
  <c r="L1057"/>
  <c r="L1058"/>
  <c r="L1059"/>
  <c r="L1060"/>
  <c r="L1061"/>
  <c r="L1062"/>
  <c r="L1063"/>
  <c r="L1064"/>
  <c r="L1065"/>
  <c r="L1067"/>
  <c r="L1068"/>
  <c r="L1070"/>
  <c r="L1071"/>
  <c r="L1072"/>
  <c r="L1073"/>
  <c r="L1074"/>
  <c r="L1075"/>
  <c r="L1076"/>
  <c r="L1077"/>
  <c r="L1078"/>
  <c r="L1079"/>
  <c r="L1080"/>
  <c r="L1081"/>
  <c r="L1082"/>
  <c r="L1084"/>
  <c r="L1085"/>
  <c r="L1086"/>
  <c r="L1087"/>
  <c r="G72"/>
  <c r="C72"/>
  <c r="B72"/>
  <c r="A72"/>
  <c r="H72"/>
  <c r="F41" i="1" s="1"/>
  <c r="H69" i="2"/>
  <c r="F40" i="1" s="1"/>
  <c r="I40" s="1"/>
  <c r="G69" i="2"/>
  <c r="C69"/>
  <c r="B69"/>
  <c r="A69"/>
  <c r="C68"/>
  <c r="B68"/>
  <c r="H41" i="1"/>
  <c r="H40"/>
  <c r="G65" i="2"/>
  <c r="C65"/>
  <c r="B65"/>
  <c r="A65"/>
  <c r="H38" i="1"/>
  <c r="H65" i="2"/>
  <c r="G63"/>
  <c r="C63"/>
  <c r="B63"/>
  <c r="A63"/>
  <c r="H37" i="1"/>
  <c r="N49" i="2"/>
  <c r="H837"/>
  <c r="H832"/>
  <c r="H824"/>
  <c r="H817"/>
  <c r="H812"/>
  <c r="H805"/>
  <c r="H840"/>
  <c r="H836"/>
  <c r="H831"/>
  <c r="H823"/>
  <c r="H816"/>
  <c r="H811"/>
  <c r="H804"/>
  <c r="N528"/>
  <c r="N535"/>
  <c r="N536"/>
  <c r="N537"/>
  <c r="N538"/>
  <c r="N539"/>
  <c r="N540"/>
  <c r="N541"/>
  <c r="N542"/>
  <c r="N543"/>
  <c r="N544"/>
  <c r="N545"/>
  <c r="N546"/>
  <c r="N547"/>
  <c r="N548"/>
  <c r="N549"/>
  <c r="N550"/>
  <c r="N551"/>
  <c r="N552"/>
  <c r="N553"/>
  <c r="N554"/>
  <c r="N555"/>
  <c r="N556"/>
  <c r="N557"/>
  <c r="N558"/>
  <c r="N559"/>
  <c r="N560"/>
  <c r="N561"/>
  <c r="N562"/>
  <c r="N563"/>
  <c r="N564"/>
  <c r="N565"/>
  <c r="N566"/>
  <c r="N567"/>
  <c r="N568"/>
  <c r="N569"/>
  <c r="N570"/>
  <c r="N571"/>
  <c r="N572"/>
  <c r="N573"/>
  <c r="N574"/>
  <c r="N575"/>
  <c r="N576"/>
  <c r="N577"/>
  <c r="N578"/>
  <c r="N579"/>
  <c r="N580"/>
  <c r="N581"/>
  <c r="N582"/>
  <c r="N583"/>
  <c r="N584"/>
  <c r="N585"/>
  <c r="N586"/>
  <c r="N587"/>
  <c r="N588"/>
  <c r="N589"/>
  <c r="N590"/>
  <c r="N592"/>
  <c r="N593"/>
  <c r="N594"/>
  <c r="N595"/>
  <c r="N596"/>
  <c r="N597"/>
  <c r="N598"/>
  <c r="N599"/>
  <c r="N600"/>
  <c r="N601"/>
  <c r="N602"/>
  <c r="N603"/>
  <c r="N604"/>
  <c r="N605"/>
  <c r="N606"/>
  <c r="N607"/>
  <c r="N608"/>
  <c r="N609"/>
  <c r="N610"/>
  <c r="N611"/>
  <c r="N612"/>
  <c r="N613"/>
  <c r="N614"/>
  <c r="N615"/>
  <c r="N616"/>
  <c r="N617"/>
  <c r="N618"/>
  <c r="N619"/>
  <c r="N620"/>
  <c r="N621"/>
  <c r="N622"/>
  <c r="N623"/>
  <c r="N624"/>
  <c r="N625"/>
  <c r="F96" i="1"/>
  <c r="O492" i="2"/>
  <c r="O493"/>
  <c r="O494"/>
  <c r="O495"/>
  <c r="O496"/>
  <c r="O497"/>
  <c r="O498"/>
  <c r="O499"/>
  <c r="N716"/>
  <c r="N717"/>
  <c r="N718"/>
  <c r="N719"/>
  <c r="N720"/>
  <c r="N721"/>
  <c r="N722"/>
  <c r="N715"/>
  <c r="G713"/>
  <c r="C713"/>
  <c r="B713"/>
  <c r="A713"/>
  <c r="H86" i="1"/>
  <c r="H841" i="2"/>
  <c r="G815"/>
  <c r="C815"/>
  <c r="B815"/>
  <c r="A815"/>
  <c r="H90" i="1"/>
  <c r="J534" i="2"/>
  <c r="N534" s="1"/>
  <c r="J533"/>
  <c r="N533" s="1"/>
  <c r="J532"/>
  <c r="N532" s="1"/>
  <c r="J531"/>
  <c r="N531" s="1"/>
  <c r="K529"/>
  <c r="N529" s="1"/>
  <c r="K527"/>
  <c r="N527" s="1"/>
  <c r="K526"/>
  <c r="N526" s="1"/>
  <c r="K525"/>
  <c r="N525" s="1"/>
  <c r="K524"/>
  <c r="N524" s="1"/>
  <c r="K523"/>
  <c r="N523" s="1"/>
  <c r="K522"/>
  <c r="N522" s="1"/>
  <c r="K521"/>
  <c r="N521" s="1"/>
  <c r="K520"/>
  <c r="N520" s="1"/>
  <c r="K519"/>
  <c r="N519" s="1"/>
  <c r="K518"/>
  <c r="N518" s="1"/>
  <c r="K517"/>
  <c r="N517" s="1"/>
  <c r="K516"/>
  <c r="N516" s="1"/>
  <c r="K515"/>
  <c r="N515" s="1"/>
  <c r="O488"/>
  <c r="O489"/>
  <c r="O490"/>
  <c r="O478"/>
  <c r="O479"/>
  <c r="O480"/>
  <c r="O481"/>
  <c r="O482"/>
  <c r="O483"/>
  <c r="O484"/>
  <c r="O485"/>
  <c r="O486"/>
  <c r="O487"/>
  <c r="O459"/>
  <c r="O460"/>
  <c r="O461"/>
  <c r="O462"/>
  <c r="O463"/>
  <c r="O464"/>
  <c r="O465"/>
  <c r="O466"/>
  <c r="O467"/>
  <c r="O468"/>
  <c r="O458"/>
  <c r="O469"/>
  <c r="O470"/>
  <c r="O471"/>
  <c r="O472"/>
  <c r="O473"/>
  <c r="O474"/>
  <c r="O475"/>
  <c r="O476"/>
  <c r="O477"/>
  <c r="O400"/>
  <c r="O401"/>
  <c r="O402"/>
  <c r="O403"/>
  <c r="O404"/>
  <c r="O405"/>
  <c r="O406"/>
  <c r="O407"/>
  <c r="O408"/>
  <c r="O409"/>
  <c r="O410"/>
  <c r="O411"/>
  <c r="O412"/>
  <c r="O413"/>
  <c r="O414"/>
  <c r="O415"/>
  <c r="O416"/>
  <c r="O417"/>
  <c r="O418"/>
  <c r="O419"/>
  <c r="O420"/>
  <c r="O421"/>
  <c r="O422"/>
  <c r="O423"/>
  <c r="O424"/>
  <c r="O425"/>
  <c r="O426"/>
  <c r="O427"/>
  <c r="O428"/>
  <c r="O429"/>
  <c r="O430"/>
  <c r="O431"/>
  <c r="O432"/>
  <c r="O433"/>
  <c r="O434"/>
  <c r="O435"/>
  <c r="O436"/>
  <c r="O437"/>
  <c r="O438"/>
  <c r="O439"/>
  <c r="O440"/>
  <c r="O441"/>
  <c r="O442"/>
  <c r="O443"/>
  <c r="O444"/>
  <c r="O445"/>
  <c r="O446"/>
  <c r="O447"/>
  <c r="O448"/>
  <c r="O449"/>
  <c r="O450"/>
  <c r="O451"/>
  <c r="O452"/>
  <c r="O453"/>
  <c r="O454"/>
  <c r="O455"/>
  <c r="O457"/>
  <c r="J399"/>
  <c r="O399" s="1"/>
  <c r="J398"/>
  <c r="O398" s="1"/>
  <c r="J397"/>
  <c r="O397" s="1"/>
  <c r="J396"/>
  <c r="O396" s="1"/>
  <c r="K394"/>
  <c r="O394" s="1"/>
  <c r="K392"/>
  <c r="O392" s="1"/>
  <c r="K391"/>
  <c r="O391" s="1"/>
  <c r="K390"/>
  <c r="O390" s="1"/>
  <c r="K389"/>
  <c r="O389" s="1"/>
  <c r="O393"/>
  <c r="K388"/>
  <c r="O388" s="1"/>
  <c r="K387"/>
  <c r="O387" s="1"/>
  <c r="K386"/>
  <c r="O386" s="1"/>
  <c r="K380"/>
  <c r="K385"/>
  <c r="O385" s="1"/>
  <c r="K384"/>
  <c r="K383"/>
  <c r="O383" s="1"/>
  <c r="K382"/>
  <c r="K381"/>
  <c r="K352"/>
  <c r="K351"/>
  <c r="K350"/>
  <c r="K349"/>
  <c r="K348"/>
  <c r="K347"/>
  <c r="K346"/>
  <c r="K345"/>
  <c r="K344"/>
  <c r="K342"/>
  <c r="K343"/>
  <c r="J352"/>
  <c r="I352"/>
  <c r="J351"/>
  <c r="I351"/>
  <c r="J350"/>
  <c r="I350"/>
  <c r="J349"/>
  <c r="I349"/>
  <c r="J348"/>
  <c r="I348"/>
  <c r="J347"/>
  <c r="I347"/>
  <c r="J346"/>
  <c r="I346"/>
  <c r="J345"/>
  <c r="I345"/>
  <c r="J344"/>
  <c r="I344"/>
  <c r="J343"/>
  <c r="I343"/>
  <c r="J342"/>
  <c r="I342"/>
  <c r="O320"/>
  <c r="O321"/>
  <c r="O322"/>
  <c r="O323"/>
  <c r="O324"/>
  <c r="O325"/>
  <c r="K319"/>
  <c r="O319" s="1"/>
  <c r="K318"/>
  <c r="O318" s="1"/>
  <c r="K317"/>
  <c r="O317" s="1"/>
  <c r="K316"/>
  <c r="O316" s="1"/>
  <c r="K315"/>
  <c r="O315" s="1"/>
  <c r="K314"/>
  <c r="O314" s="1"/>
  <c r="L1143"/>
  <c r="J1046"/>
  <c r="J1045"/>
  <c r="J1044"/>
  <c r="J1043"/>
  <c r="J1042"/>
  <c r="J1041"/>
  <c r="J1040"/>
  <c r="J1039"/>
  <c r="J1038"/>
  <c r="J1037"/>
  <c r="J1036"/>
  <c r="J1035"/>
  <c r="J1034"/>
  <c r="J1033"/>
  <c r="N985"/>
  <c r="L984"/>
  <c r="M983"/>
  <c r="N983" s="1"/>
  <c r="L979"/>
  <c r="N979" s="1"/>
  <c r="L978"/>
  <c r="N978" s="1"/>
  <c r="L977"/>
  <c r="N977" s="1"/>
  <c r="L976"/>
  <c r="N976" s="1"/>
  <c r="L975"/>
  <c r="N975" s="1"/>
  <c r="L973"/>
  <c r="N973" s="1"/>
  <c r="H80" i="1"/>
  <c r="G373" i="2"/>
  <c r="C373"/>
  <c r="B373"/>
  <c r="A373"/>
  <c r="H373"/>
  <c r="F80" i="1" s="1"/>
  <c r="G367" i="2"/>
  <c r="C367"/>
  <c r="B367"/>
  <c r="A367"/>
  <c r="H367"/>
  <c r="F78" i="1" s="1"/>
  <c r="G364" i="2"/>
  <c r="C364"/>
  <c r="B364"/>
  <c r="A364"/>
  <c r="H364"/>
  <c r="F77" i="1" s="1"/>
  <c r="H77"/>
  <c r="H78"/>
  <c r="H360" i="2"/>
  <c r="O278"/>
  <c r="O279"/>
  <c r="O280"/>
  <c r="O281"/>
  <c r="O282"/>
  <c r="O283"/>
  <c r="O284"/>
  <c r="O286"/>
  <c r="O277"/>
  <c r="K340"/>
  <c r="J340"/>
  <c r="I340"/>
  <c r="K332"/>
  <c r="K333"/>
  <c r="K334"/>
  <c r="K335"/>
  <c r="K336"/>
  <c r="K337"/>
  <c r="K338"/>
  <c r="J338"/>
  <c r="I338"/>
  <c r="J337"/>
  <c r="I337"/>
  <c r="J336"/>
  <c r="I336"/>
  <c r="J335"/>
  <c r="I335"/>
  <c r="J334"/>
  <c r="I334"/>
  <c r="J333"/>
  <c r="I333"/>
  <c r="J332"/>
  <c r="I332"/>
  <c r="K331"/>
  <c r="J331"/>
  <c r="I331"/>
  <c r="O313"/>
  <c r="O326"/>
  <c r="O309"/>
  <c r="O310"/>
  <c r="O312"/>
  <c r="O305"/>
  <c r="O306"/>
  <c r="O307"/>
  <c r="O308"/>
  <c r="O303"/>
  <c r="O298"/>
  <c r="J297"/>
  <c r="O297" s="1"/>
  <c r="J276"/>
  <c r="O276" s="1"/>
  <c r="C296"/>
  <c r="J274"/>
  <c r="O274" s="1"/>
  <c r="H63" i="1"/>
  <c r="H61"/>
  <c r="L228" i="2"/>
  <c r="K228"/>
  <c r="I228"/>
  <c r="N226"/>
  <c r="O226" s="1"/>
  <c r="N225"/>
  <c r="O225" s="1"/>
  <c r="N223"/>
  <c r="O223" s="1"/>
  <c r="N222"/>
  <c r="O222" s="1"/>
  <c r="N221"/>
  <c r="O221" s="1"/>
  <c r="N220"/>
  <c r="O220" s="1"/>
  <c r="N219"/>
  <c r="O219" s="1"/>
  <c r="N218"/>
  <c r="O218" s="1"/>
  <c r="N217"/>
  <c r="O217" s="1"/>
  <c r="N216"/>
  <c r="O216" s="1"/>
  <c r="L199"/>
  <c r="K199"/>
  <c r="I199"/>
  <c r="C214"/>
  <c r="G214"/>
  <c r="B214"/>
  <c r="A214"/>
  <c r="I188" i="1" l="1"/>
  <c r="J182"/>
  <c r="O228" i="2"/>
  <c r="O214" s="1"/>
  <c r="O1653"/>
  <c r="F184" i="1" s="1"/>
  <c r="J184" s="1"/>
  <c r="N984" i="2"/>
  <c r="N982" s="1"/>
  <c r="F109" i="1" s="1"/>
  <c r="J201" i="2"/>
  <c r="O201" s="1"/>
  <c r="I50" i="1"/>
  <c r="J50"/>
  <c r="F38"/>
  <c r="I38" s="1"/>
  <c r="H63" i="2"/>
  <c r="F37" i="1" s="1"/>
  <c r="I37" s="1"/>
  <c r="I185"/>
  <c r="J185"/>
  <c r="J183"/>
  <c r="I183"/>
  <c r="J41"/>
  <c r="H829" i="2"/>
  <c r="N1450"/>
  <c r="H834"/>
  <c r="N352"/>
  <c r="H802"/>
  <c r="H808"/>
  <c r="N346"/>
  <c r="N343"/>
  <c r="H821"/>
  <c r="N344"/>
  <c r="H815"/>
  <c r="F90" i="1" s="1"/>
  <c r="I90" s="1"/>
  <c r="N349" i="2"/>
  <c r="I41" i="1"/>
  <c r="N345" i="2"/>
  <c r="N351"/>
  <c r="N347"/>
  <c r="N713"/>
  <c r="F86" i="1" s="1"/>
  <c r="I86" s="1"/>
  <c r="N342" i="2"/>
  <c r="N348"/>
  <c r="J40" i="1"/>
  <c r="N350" i="2"/>
  <c r="N1378"/>
  <c r="N1344" s="1"/>
  <c r="N1198"/>
  <c r="N1172"/>
  <c r="N1158" s="1"/>
  <c r="L1088"/>
  <c r="F117" i="1" s="1"/>
  <c r="L1047" i="2"/>
  <c r="F116" i="1" s="1"/>
  <c r="I80"/>
  <c r="J80"/>
  <c r="N332" i="2"/>
  <c r="N338"/>
  <c r="J78" i="1"/>
  <c r="I78"/>
  <c r="J77"/>
  <c r="I77"/>
  <c r="N334" i="2"/>
  <c r="N335"/>
  <c r="N336"/>
  <c r="N331"/>
  <c r="N340"/>
  <c r="N337"/>
  <c r="O275"/>
  <c r="N333"/>
  <c r="O199"/>
  <c r="J1031"/>
  <c r="J1030"/>
  <c r="J1029"/>
  <c r="J1028"/>
  <c r="J1018"/>
  <c r="J1024"/>
  <c r="J1023"/>
  <c r="J1022"/>
  <c r="J1021"/>
  <c r="J1025"/>
  <c r="J1020"/>
  <c r="J1017"/>
  <c r="J1016"/>
  <c r="J1015"/>
  <c r="J1014"/>
  <c r="J1019"/>
  <c r="J1013"/>
  <c r="J999"/>
  <c r="J1012"/>
  <c r="J1010"/>
  <c r="J1009"/>
  <c r="J1008"/>
  <c r="J1007"/>
  <c r="J1002"/>
  <c r="J1001"/>
  <c r="J1003"/>
  <c r="J1004"/>
  <c r="J995"/>
  <c r="J996"/>
  <c r="J997"/>
  <c r="J998"/>
  <c r="J994"/>
  <c r="N981"/>
  <c r="M963"/>
  <c r="M970"/>
  <c r="M972"/>
  <c r="M971"/>
  <c r="M969"/>
  <c r="N969" s="1"/>
  <c r="M961"/>
  <c r="M968"/>
  <c r="M967"/>
  <c r="M966"/>
  <c r="M965"/>
  <c r="M964"/>
  <c r="M962"/>
  <c r="M960"/>
  <c r="M959"/>
  <c r="M958"/>
  <c r="M957"/>
  <c r="M956"/>
  <c r="M955"/>
  <c r="N955" s="1"/>
  <c r="M954"/>
  <c r="M953"/>
  <c r="I39" i="1" l="1"/>
  <c r="I184"/>
  <c r="J39"/>
  <c r="J37"/>
  <c r="J38"/>
  <c r="N327" i="2"/>
  <c r="F162" i="1"/>
  <c r="J162" s="1"/>
  <c r="F61"/>
  <c r="J61" s="1"/>
  <c r="J181"/>
  <c r="I181"/>
  <c r="I162"/>
  <c r="J90"/>
  <c r="J86"/>
  <c r="J1026" i="2"/>
  <c r="F114" i="1" s="1"/>
  <c r="J1005" i="2"/>
  <c r="F113" i="1" s="1"/>
  <c r="J992" i="2"/>
  <c r="F112" i="1" s="1"/>
  <c r="M952" i="2"/>
  <c r="N952" s="1"/>
  <c r="M951"/>
  <c r="M950"/>
  <c r="M949"/>
  <c r="M948"/>
  <c r="M947"/>
  <c r="M946"/>
  <c r="M945"/>
  <c r="M944"/>
  <c r="M943"/>
  <c r="M942"/>
  <c r="M941"/>
  <c r="M940"/>
  <c r="M939"/>
  <c r="M938"/>
  <c r="M937"/>
  <c r="M936"/>
  <c r="L972"/>
  <c r="N972" s="1"/>
  <c r="L971"/>
  <c r="N971" s="1"/>
  <c r="L970"/>
  <c r="N970" s="1"/>
  <c r="L963"/>
  <c r="N963" s="1"/>
  <c r="L968"/>
  <c r="N968" s="1"/>
  <c r="L967"/>
  <c r="N967" s="1"/>
  <c r="L966"/>
  <c r="N966" s="1"/>
  <c r="L965"/>
  <c r="N965" s="1"/>
  <c r="L964"/>
  <c r="N964" s="1"/>
  <c r="L962"/>
  <c r="N962" s="1"/>
  <c r="L961"/>
  <c r="N961" s="1"/>
  <c r="L960"/>
  <c r="N960" s="1"/>
  <c r="L959"/>
  <c r="N959" s="1"/>
  <c r="L958"/>
  <c r="N958" s="1"/>
  <c r="L957"/>
  <c r="N957" s="1"/>
  <c r="L956"/>
  <c r="N956" s="1"/>
  <c r="L954"/>
  <c r="N954" s="1"/>
  <c r="L953"/>
  <c r="N953" s="1"/>
  <c r="L951"/>
  <c r="L950"/>
  <c r="L949"/>
  <c r="L948"/>
  <c r="L947"/>
  <c r="L946"/>
  <c r="L945"/>
  <c r="L944"/>
  <c r="L943"/>
  <c r="L942"/>
  <c r="L941"/>
  <c r="L940"/>
  <c r="L939"/>
  <c r="L938"/>
  <c r="L937"/>
  <c r="L936"/>
  <c r="L935"/>
  <c r="N935" s="1"/>
  <c r="N197"/>
  <c r="O197" s="1"/>
  <c r="N196"/>
  <c r="O196" s="1"/>
  <c r="N194"/>
  <c r="O194" s="1"/>
  <c r="N193"/>
  <c r="O193" s="1"/>
  <c r="N192"/>
  <c r="O192" s="1"/>
  <c r="N191"/>
  <c r="O191" s="1"/>
  <c r="N190"/>
  <c r="O190" s="1"/>
  <c r="N189"/>
  <c r="O189" s="1"/>
  <c r="N188"/>
  <c r="O188" s="1"/>
  <c r="N187"/>
  <c r="O187" s="1"/>
  <c r="F63" i="1"/>
  <c r="B3" i="2"/>
  <c r="F7" i="6"/>
  <c r="F8"/>
  <c r="F9"/>
  <c r="F10"/>
  <c r="F11"/>
  <c r="F12"/>
  <c r="F22"/>
  <c r="F23"/>
  <c r="F24"/>
  <c r="F25"/>
  <c r="F26"/>
  <c r="F27"/>
  <c r="C31" s="1"/>
  <c r="F37"/>
  <c r="F38"/>
  <c r="F39"/>
  <c r="F40"/>
  <c r="C45" s="1"/>
  <c r="F41"/>
  <c r="E52"/>
  <c r="F52" s="1"/>
  <c r="B57" s="1"/>
  <c r="F53"/>
  <c r="F54"/>
  <c r="F64"/>
  <c r="B69" s="1"/>
  <c r="F65"/>
  <c r="F66"/>
  <c r="F76"/>
  <c r="B81" s="1"/>
  <c r="F77"/>
  <c r="F78"/>
  <c r="C81" s="1"/>
  <c r="F88"/>
  <c r="B93" s="1"/>
  <c r="F89"/>
  <c r="F90"/>
  <c r="F101"/>
  <c r="B106" s="1"/>
  <c r="F102"/>
  <c r="F103"/>
  <c r="F112"/>
  <c r="F113"/>
  <c r="C116" s="1"/>
  <c r="B116"/>
  <c r="F122"/>
  <c r="B127" s="1"/>
  <c r="F123"/>
  <c r="F124"/>
  <c r="C127" s="1"/>
  <c r="F133"/>
  <c r="B138" s="1"/>
  <c r="F134"/>
  <c r="F135"/>
  <c r="C138" s="1"/>
  <c r="F144"/>
  <c r="B149" s="1"/>
  <c r="F145"/>
  <c r="F146"/>
  <c r="F155"/>
  <c r="B160" s="1"/>
  <c r="F156"/>
  <c r="F157"/>
  <c r="F166"/>
  <c r="B171" s="1"/>
  <c r="F171" s="1"/>
  <c r="F167"/>
  <c r="F168"/>
  <c r="C171" s="1"/>
  <c r="F177"/>
  <c r="B182" s="1"/>
  <c r="F178"/>
  <c r="F179"/>
  <c r="D189"/>
  <c r="F189"/>
  <c r="B194" s="1"/>
  <c r="F190"/>
  <c r="F191"/>
  <c r="F200"/>
  <c r="B205" s="1"/>
  <c r="F201"/>
  <c r="F202"/>
  <c r="C205" s="1"/>
  <c r="E212"/>
  <c r="F212" s="1"/>
  <c r="D213"/>
  <c r="F214"/>
  <c r="F215"/>
  <c r="F225"/>
  <c r="B230" s="1"/>
  <c r="F226"/>
  <c r="F227"/>
  <c r="C230" s="1"/>
  <c r="F237"/>
  <c r="B242" s="1"/>
  <c r="F238"/>
  <c r="F239"/>
  <c r="F249"/>
  <c r="B254" s="1"/>
  <c r="F250"/>
  <c r="F251"/>
  <c r="F260"/>
  <c r="F261"/>
  <c r="F262"/>
  <c r="F263"/>
  <c r="C266" s="1"/>
  <c r="F272"/>
  <c r="F273"/>
  <c r="F274"/>
  <c r="F275"/>
  <c r="C278"/>
  <c r="F284"/>
  <c r="B289" s="1"/>
  <c r="F285"/>
  <c r="F286"/>
  <c r="C289" s="1"/>
  <c r="F295"/>
  <c r="B300" s="1"/>
  <c r="F296"/>
  <c r="F297"/>
  <c r="F306"/>
  <c r="B311" s="1"/>
  <c r="F311" s="1"/>
  <c r="F307"/>
  <c r="F308"/>
  <c r="C311" s="1"/>
  <c r="H33" i="1"/>
  <c r="H36"/>
  <c r="G6" i="9"/>
  <c r="G13"/>
  <c r="G17"/>
  <c r="G18"/>
  <c r="G19"/>
  <c r="G24"/>
  <c r="G25"/>
  <c r="G27" s="1"/>
  <c r="G26"/>
  <c r="G34"/>
  <c r="G41"/>
  <c r="G48"/>
  <c r="G52"/>
  <c r="G53"/>
  <c r="G54"/>
  <c r="G62"/>
  <c r="G69"/>
  <c r="H6" i="10"/>
  <c r="H13"/>
  <c r="H20"/>
  <c r="H25"/>
  <c r="H30"/>
  <c r="H35"/>
  <c r="H40"/>
  <c r="H45"/>
  <c r="H50"/>
  <c r="H55"/>
  <c r="H59"/>
  <c r="H60"/>
  <c r="E213" i="6" s="1"/>
  <c r="F213" s="1"/>
  <c r="H64" i="10"/>
  <c r="H65"/>
  <c r="H70"/>
  <c r="F5" i="12" s="1"/>
  <c r="G5" s="1"/>
  <c r="B3" i="3"/>
  <c r="B8"/>
  <c r="C8"/>
  <c r="I10"/>
  <c r="J10"/>
  <c r="L10"/>
  <c r="O10"/>
  <c r="M10"/>
  <c r="B11"/>
  <c r="C11"/>
  <c r="H13"/>
  <c r="O13"/>
  <c r="P13"/>
  <c r="B14"/>
  <c r="C14"/>
  <c r="P15"/>
  <c r="H16"/>
  <c r="I16"/>
  <c r="J16"/>
  <c r="B17"/>
  <c r="C17"/>
  <c r="E17"/>
  <c r="E20" s="1"/>
  <c r="E23" s="1"/>
  <c r="E26" s="1"/>
  <c r="P18"/>
  <c r="I19"/>
  <c r="J19"/>
  <c r="B20"/>
  <c r="C20"/>
  <c r="P21"/>
  <c r="I22"/>
  <c r="J22"/>
  <c r="K22"/>
  <c r="B23"/>
  <c r="C23"/>
  <c r="P24"/>
  <c r="J25"/>
  <c r="K25"/>
  <c r="L25"/>
  <c r="M25"/>
  <c r="B26"/>
  <c r="C26"/>
  <c r="P27"/>
  <c r="L28"/>
  <c r="M28"/>
  <c r="B29"/>
  <c r="C29"/>
  <c r="P30"/>
  <c r="I31"/>
  <c r="J31"/>
  <c r="K31"/>
  <c r="L31"/>
  <c r="P31"/>
  <c r="B32"/>
  <c r="C32"/>
  <c r="P33"/>
  <c r="J34"/>
  <c r="K34"/>
  <c r="L34"/>
  <c r="M34"/>
  <c r="B35"/>
  <c r="C35"/>
  <c r="P36"/>
  <c r="K37"/>
  <c r="L37"/>
  <c r="M37"/>
  <c r="O37"/>
  <c r="E38"/>
  <c r="P39"/>
  <c r="K40"/>
  <c r="L40"/>
  <c r="M40"/>
  <c r="O40"/>
  <c r="P40" s="1"/>
  <c r="B41"/>
  <c r="C41"/>
  <c r="P42"/>
  <c r="K43"/>
  <c r="L43"/>
  <c r="M43"/>
  <c r="O43"/>
  <c r="B44"/>
  <c r="C44"/>
  <c r="B47"/>
  <c r="C47"/>
  <c r="P48"/>
  <c r="I49"/>
  <c r="J49"/>
  <c r="K49"/>
  <c r="L49"/>
  <c r="M49"/>
  <c r="O49"/>
  <c r="B50"/>
  <c r="C50"/>
  <c r="P51"/>
  <c r="I52"/>
  <c r="J52"/>
  <c r="K52"/>
  <c r="L52"/>
  <c r="M52"/>
  <c r="O52"/>
  <c r="B53"/>
  <c r="C53"/>
  <c r="P54"/>
  <c r="L55"/>
  <c r="M55"/>
  <c r="O55"/>
  <c r="B56"/>
  <c r="C56"/>
  <c r="P57"/>
  <c r="M58"/>
  <c r="O58"/>
  <c r="B59"/>
  <c r="C59"/>
  <c r="B62"/>
  <c r="C62"/>
  <c r="P63"/>
  <c r="M64"/>
  <c r="B65"/>
  <c r="C65"/>
  <c r="P66"/>
  <c r="K67"/>
  <c r="L67"/>
  <c r="M67"/>
  <c r="O67"/>
  <c r="B68"/>
  <c r="C68"/>
  <c r="P69"/>
  <c r="K70"/>
  <c r="O70"/>
  <c r="B71"/>
  <c r="C71"/>
  <c r="P72"/>
  <c r="I73"/>
  <c r="J73"/>
  <c r="K73"/>
  <c r="L73"/>
  <c r="B74"/>
  <c r="C74"/>
  <c r="P75"/>
  <c r="I76"/>
  <c r="J76"/>
  <c r="K76"/>
  <c r="L76"/>
  <c r="M76"/>
  <c r="O76"/>
  <c r="B77"/>
  <c r="C77"/>
  <c r="P78"/>
  <c r="L79"/>
  <c r="M79"/>
  <c r="B80"/>
  <c r="C80"/>
  <c r="P81"/>
  <c r="K82"/>
  <c r="L82"/>
  <c r="M82"/>
  <c r="O82"/>
  <c r="B83"/>
  <c r="C83"/>
  <c r="P84"/>
  <c r="K85"/>
  <c r="L85"/>
  <c r="M85"/>
  <c r="O85"/>
  <c r="B86"/>
  <c r="C86"/>
  <c r="P87"/>
  <c r="K88"/>
  <c r="L88"/>
  <c r="M88"/>
  <c r="O88"/>
  <c r="B89"/>
  <c r="C89"/>
  <c r="P90"/>
  <c r="K91"/>
  <c r="L91"/>
  <c r="B92"/>
  <c r="C92"/>
  <c r="P93"/>
  <c r="K94"/>
  <c r="L94"/>
  <c r="M94"/>
  <c r="B95"/>
  <c r="C95"/>
  <c r="P96"/>
  <c r="L97"/>
  <c r="M97"/>
  <c r="B98"/>
  <c r="C98"/>
  <c r="P99"/>
  <c r="P100"/>
  <c r="B3" i="4"/>
  <c r="B11"/>
  <c r="C11"/>
  <c r="E11"/>
  <c r="E14" s="1"/>
  <c r="P12"/>
  <c r="M13"/>
  <c r="O13"/>
  <c r="B14"/>
  <c r="C14"/>
  <c r="P15"/>
  <c r="K16"/>
  <c r="L16"/>
  <c r="M16"/>
  <c r="O16"/>
  <c r="B17"/>
  <c r="C17"/>
  <c r="P18"/>
  <c r="K19"/>
  <c r="L19"/>
  <c r="M19"/>
  <c r="O19"/>
  <c r="B20"/>
  <c r="C20"/>
  <c r="P21"/>
  <c r="I22"/>
  <c r="J22"/>
  <c r="K22"/>
  <c r="L22"/>
  <c r="M22"/>
  <c r="B23"/>
  <c r="C23"/>
  <c r="P24"/>
  <c r="K25"/>
  <c r="L25"/>
  <c r="M25"/>
  <c r="O25"/>
  <c r="H26"/>
  <c r="H27"/>
  <c r="B2" i="2"/>
  <c r="N4"/>
  <c r="B7"/>
  <c r="C7"/>
  <c r="A8"/>
  <c r="B8"/>
  <c r="C8"/>
  <c r="G8"/>
  <c r="H8"/>
  <c r="A12"/>
  <c r="B12"/>
  <c r="C12"/>
  <c r="G12"/>
  <c r="H12"/>
  <c r="F14" i="1" s="1"/>
  <c r="I14" s="1"/>
  <c r="A16" i="2"/>
  <c r="B16"/>
  <c r="C16"/>
  <c r="G16"/>
  <c r="H16"/>
  <c r="F16" i="1" s="1"/>
  <c r="I16" s="1"/>
  <c r="A18" i="2"/>
  <c r="B18"/>
  <c r="C18"/>
  <c r="G18"/>
  <c r="H18"/>
  <c r="F17" i="1" s="1"/>
  <c r="I17" s="1"/>
  <c r="B20" i="2"/>
  <c r="C20"/>
  <c r="G20"/>
  <c r="H20"/>
  <c r="F18" i="1" s="1"/>
  <c r="I18" s="1"/>
  <c r="A22" i="2"/>
  <c r="C22"/>
  <c r="G22"/>
  <c r="H23"/>
  <c r="H24"/>
  <c r="H25"/>
  <c r="H26"/>
  <c r="B29"/>
  <c r="C29"/>
  <c r="B30"/>
  <c r="C30"/>
  <c r="A31"/>
  <c r="B31"/>
  <c r="C31"/>
  <c r="G31"/>
  <c r="H31"/>
  <c r="F21" i="1" s="1"/>
  <c r="A33" i="2"/>
  <c r="B33"/>
  <c r="C33"/>
  <c r="G33"/>
  <c r="B35"/>
  <c r="C35"/>
  <c r="A36"/>
  <c r="B36"/>
  <c r="C36"/>
  <c r="G36"/>
  <c r="H36"/>
  <c r="F24" i="1" s="1"/>
  <c r="A38" i="2"/>
  <c r="B38"/>
  <c r="C38"/>
  <c r="G38"/>
  <c r="N38"/>
  <c r="F25" i="1" s="1"/>
  <c r="A40" i="2"/>
  <c r="B40"/>
  <c r="C40"/>
  <c r="G40"/>
  <c r="N40"/>
  <c r="F26" i="1" s="1"/>
  <c r="B42" i="2"/>
  <c r="C42"/>
  <c r="A47"/>
  <c r="B47"/>
  <c r="C47"/>
  <c r="G47"/>
  <c r="H47"/>
  <c r="F30" i="1" s="1"/>
  <c r="N47" i="2"/>
  <c r="A49"/>
  <c r="B49"/>
  <c r="C49"/>
  <c r="G49"/>
  <c r="F31" i="1"/>
  <c r="I31" s="1"/>
  <c r="A52" i="2"/>
  <c r="B52"/>
  <c r="C52"/>
  <c r="G52"/>
  <c r="N53"/>
  <c r="B55"/>
  <c r="C55"/>
  <c r="G55"/>
  <c r="H55"/>
  <c r="F33" i="1" s="1"/>
  <c r="A57" i="2"/>
  <c r="B57"/>
  <c r="C57"/>
  <c r="G57"/>
  <c r="H57"/>
  <c r="F34" i="1" s="1"/>
  <c r="B59" i="2"/>
  <c r="C59"/>
  <c r="G59"/>
  <c r="H59"/>
  <c r="F35" i="1" s="1"/>
  <c r="B61" i="2"/>
  <c r="C61"/>
  <c r="G61"/>
  <c r="H61"/>
  <c r="F36" i="1" s="1"/>
  <c r="I36" s="1"/>
  <c r="B183" i="2"/>
  <c r="C183"/>
  <c r="B184"/>
  <c r="C184"/>
  <c r="A185"/>
  <c r="B185"/>
  <c r="C185"/>
  <c r="G185"/>
  <c r="B213"/>
  <c r="C213"/>
  <c r="A243"/>
  <c r="B243"/>
  <c r="C243"/>
  <c r="G243"/>
  <c r="B267"/>
  <c r="C267"/>
  <c r="B268"/>
  <c r="C268"/>
  <c r="A269"/>
  <c r="B269"/>
  <c r="C269"/>
  <c r="G269"/>
  <c r="N269"/>
  <c r="F68" i="1" s="1"/>
  <c r="I68" s="1"/>
  <c r="B272" i="2"/>
  <c r="C272"/>
  <c r="A273"/>
  <c r="B273"/>
  <c r="C273"/>
  <c r="G273"/>
  <c r="O273"/>
  <c r="F70" i="1" s="1"/>
  <c r="A275" i="2"/>
  <c r="B275"/>
  <c r="C275"/>
  <c r="G275"/>
  <c r="F72" i="1"/>
  <c r="A296" i="2"/>
  <c r="B296"/>
  <c r="G296"/>
  <c r="O299"/>
  <c r="O300"/>
  <c r="A301"/>
  <c r="B301"/>
  <c r="C301"/>
  <c r="G301"/>
  <c r="O302"/>
  <c r="O304"/>
  <c r="A327"/>
  <c r="B327"/>
  <c r="C327"/>
  <c r="G327"/>
  <c r="A356"/>
  <c r="B356"/>
  <c r="C356"/>
  <c r="G356"/>
  <c r="H356"/>
  <c r="F75" i="1" s="1"/>
  <c r="A360" i="2"/>
  <c r="B360"/>
  <c r="C360"/>
  <c r="G360"/>
  <c r="F76" i="1"/>
  <c r="I76" s="1"/>
  <c r="A370" i="2"/>
  <c r="B370"/>
  <c r="C370"/>
  <c r="G370"/>
  <c r="H370"/>
  <c r="F79" i="1" s="1"/>
  <c r="B377" i="2"/>
  <c r="C377"/>
  <c r="A378"/>
  <c r="B378"/>
  <c r="C378"/>
  <c r="G378"/>
  <c r="O380"/>
  <c r="O381"/>
  <c r="O382"/>
  <c r="O384"/>
  <c r="A513"/>
  <c r="B513"/>
  <c r="C513"/>
  <c r="G513"/>
  <c r="A802"/>
  <c r="B802"/>
  <c r="C802"/>
  <c r="G802"/>
  <c r="F88" i="1"/>
  <c r="A808" i="2"/>
  <c r="B808"/>
  <c r="C808"/>
  <c r="G808"/>
  <c r="F89" i="1"/>
  <c r="A821" i="2"/>
  <c r="B821"/>
  <c r="C821"/>
  <c r="G821"/>
  <c r="F91" i="1"/>
  <c r="I91" s="1"/>
  <c r="A829" i="2"/>
  <c r="B829"/>
  <c r="C829"/>
  <c r="G829"/>
  <c r="F92" i="1"/>
  <c r="A834" i="2"/>
  <c r="B834"/>
  <c r="C834"/>
  <c r="G834"/>
  <c r="F93" i="1"/>
  <c r="I93" s="1"/>
  <c r="A839" i="2"/>
  <c r="B839"/>
  <c r="C839"/>
  <c r="G839"/>
  <c r="H839"/>
  <c r="F94" i="1" s="1"/>
  <c r="I94" s="1"/>
  <c r="A841" i="2"/>
  <c r="B841"/>
  <c r="C841"/>
  <c r="G841"/>
  <c r="F95" i="1"/>
  <c r="I95" s="1"/>
  <c r="A844" i="2"/>
  <c r="B844"/>
  <c r="C844"/>
  <c r="G844"/>
  <c r="I96" i="1"/>
  <c r="A855" i="2"/>
  <c r="B855"/>
  <c r="C855"/>
  <c r="G855"/>
  <c r="N922"/>
  <c r="A923"/>
  <c r="B923"/>
  <c r="C923"/>
  <c r="G923"/>
  <c r="B931"/>
  <c r="C931"/>
  <c r="A933"/>
  <c r="B933"/>
  <c r="C933"/>
  <c r="A980"/>
  <c r="B980"/>
  <c r="C980"/>
  <c r="G980"/>
  <c r="N980"/>
  <c r="F108" i="1" s="1"/>
  <c r="A992" i="2"/>
  <c r="B992"/>
  <c r="C992"/>
  <c r="G992"/>
  <c r="A1005"/>
  <c r="B1005"/>
  <c r="C1005"/>
  <c r="G1005"/>
  <c r="A1026"/>
  <c r="B1026"/>
  <c r="C1026"/>
  <c r="G1026"/>
  <c r="A1032"/>
  <c r="B1032"/>
  <c r="C1032"/>
  <c r="G1032"/>
  <c r="J1032"/>
  <c r="F115" i="1" s="1"/>
  <c r="A1047" i="2"/>
  <c r="B1047"/>
  <c r="I116" i="1"/>
  <c r="A1088" i="2"/>
  <c r="B1088"/>
  <c r="C1088"/>
  <c r="B1135"/>
  <c r="A1136"/>
  <c r="B1136"/>
  <c r="N1136"/>
  <c r="F120" i="1" s="1"/>
  <c r="I120" s="1"/>
  <c r="A1140" i="2"/>
  <c r="B1140"/>
  <c r="F122" i="1"/>
  <c r="A1142" i="2"/>
  <c r="B1142"/>
  <c r="C1142"/>
  <c r="G1142"/>
  <c r="L1142"/>
  <c r="F123" i="1" s="1"/>
  <c r="A1148" i="2"/>
  <c r="B1148"/>
  <c r="C1148"/>
  <c r="G1148"/>
  <c r="H1148"/>
  <c r="F125" i="1" s="1"/>
  <c r="A1150" i="2"/>
  <c r="B1150"/>
  <c r="G1150"/>
  <c r="B1157"/>
  <c r="C1157"/>
  <c r="A1158"/>
  <c r="B1158"/>
  <c r="C1158"/>
  <c r="G1158"/>
  <c r="A1193"/>
  <c r="B1193"/>
  <c r="C1193"/>
  <c r="G1193"/>
  <c r="A1198"/>
  <c r="B1198"/>
  <c r="G1198"/>
  <c r="A1207"/>
  <c r="B1207"/>
  <c r="C1207"/>
  <c r="G1207"/>
  <c r="N1213"/>
  <c r="N1207" s="1"/>
  <c r="B1214"/>
  <c r="C1214"/>
  <c r="G1214"/>
  <c r="B1222"/>
  <c r="C1222"/>
  <c r="B1223"/>
  <c r="C1223"/>
  <c r="B1224"/>
  <c r="C1224"/>
  <c r="G1224"/>
  <c r="F138" i="1"/>
  <c r="A1250" i="2"/>
  <c r="B1250"/>
  <c r="C1250"/>
  <c r="G1250"/>
  <c r="H1250"/>
  <c r="F139" i="1" s="1"/>
  <c r="I139" s="1"/>
  <c r="A1259" i="2"/>
  <c r="B1259"/>
  <c r="C1259"/>
  <c r="G1259"/>
  <c r="H1259"/>
  <c r="F140" i="1" s="1"/>
  <c r="I140" s="1"/>
  <c r="A1262" i="2"/>
  <c r="B1262"/>
  <c r="C1262"/>
  <c r="G1262"/>
  <c r="H1262"/>
  <c r="F141" i="1" s="1"/>
  <c r="B1273" i="2"/>
  <c r="C1273"/>
  <c r="A1274"/>
  <c r="B1274"/>
  <c r="C1274"/>
  <c r="G1274"/>
  <c r="A1295"/>
  <c r="B1295"/>
  <c r="G1295"/>
  <c r="N1296"/>
  <c r="N1295" s="1"/>
  <c r="F146" i="1" s="1"/>
  <c r="B1305" i="2"/>
  <c r="C1305"/>
  <c r="A1306"/>
  <c r="B1306"/>
  <c r="C1306"/>
  <c r="G1306"/>
  <c r="N1307"/>
  <c r="N1306" s="1"/>
  <c r="F151" i="1" s="1"/>
  <c r="I151" s="1"/>
  <c r="A1308" i="2"/>
  <c r="B1308"/>
  <c r="C1308"/>
  <c r="G1308"/>
  <c r="F152" i="1"/>
  <c r="A1311" i="2"/>
  <c r="B1311"/>
  <c r="C1311"/>
  <c r="G1311"/>
  <c r="N1312"/>
  <c r="N1313"/>
  <c r="B1314"/>
  <c r="C1314"/>
  <c r="G1314"/>
  <c r="N1315"/>
  <c r="N1316"/>
  <c r="A1317"/>
  <c r="B1317"/>
  <c r="C1317"/>
  <c r="G1317"/>
  <c r="F155" i="1"/>
  <c r="B1342" i="2"/>
  <c r="C1342"/>
  <c r="B1343"/>
  <c r="C1343"/>
  <c r="A1344"/>
  <c r="B1344"/>
  <c r="C1344"/>
  <c r="G1344"/>
  <c r="A1397"/>
  <c r="B1397"/>
  <c r="C1397"/>
  <c r="G1397"/>
  <c r="A1416"/>
  <c r="B1416"/>
  <c r="C1416"/>
  <c r="G1416"/>
  <c r="A1470"/>
  <c r="B1470"/>
  <c r="C1470"/>
  <c r="G1470"/>
  <c r="F166" i="1"/>
  <c r="B1474" i="2"/>
  <c r="C1474"/>
  <c r="A1475"/>
  <c r="B1475"/>
  <c r="C1475"/>
  <c r="G1475"/>
  <c r="A1477"/>
  <c r="B1477"/>
  <c r="C1477"/>
  <c r="G1477"/>
  <c r="A1494"/>
  <c r="B1494"/>
  <c r="G1494"/>
  <c r="G1509"/>
  <c r="H1515"/>
  <c r="F177" i="1" s="1"/>
  <c r="F178"/>
  <c r="A1608" i="2"/>
  <c r="B1608"/>
  <c r="C1608"/>
  <c r="G1608"/>
  <c r="A1653"/>
  <c r="B1653"/>
  <c r="C1653"/>
  <c r="G1653"/>
  <c r="G1835"/>
  <c r="F192" i="1"/>
  <c r="G1838" i="2"/>
  <c r="G1843"/>
  <c r="B1876"/>
  <c r="C1876"/>
  <c r="A1877"/>
  <c r="B1877"/>
  <c r="C1877"/>
  <c r="G1877"/>
  <c r="A1933"/>
  <c r="B1933"/>
  <c r="C1933"/>
  <c r="G1933"/>
  <c r="A1961"/>
  <c r="B1961"/>
  <c r="C1961"/>
  <c r="G1961"/>
  <c r="A1970"/>
  <c r="B1970"/>
  <c r="C1970"/>
  <c r="G1970"/>
  <c r="A1976"/>
  <c r="B1976"/>
  <c r="G1976"/>
  <c r="N1977"/>
  <c r="A1979"/>
  <c r="B1979"/>
  <c r="C1979"/>
  <c r="G1979"/>
  <c r="N1980"/>
  <c r="B2008"/>
  <c r="C2008"/>
  <c r="B2009"/>
  <c r="C2009"/>
  <c r="A2014"/>
  <c r="B2014"/>
  <c r="C2014"/>
  <c r="G2014"/>
  <c r="H2014"/>
  <c r="A2016"/>
  <c r="B2016"/>
  <c r="C2016"/>
  <c r="G2016"/>
  <c r="H2016"/>
  <c r="F216" i="1" s="1"/>
  <c r="I216" s="1"/>
  <c r="A2018" i="2"/>
  <c r="B2018"/>
  <c r="C2018"/>
  <c r="G2018"/>
  <c r="H2018"/>
  <c r="F217" i="1" s="1"/>
  <c r="A2020" i="2"/>
  <c r="B2020"/>
  <c r="C2020"/>
  <c r="G2020"/>
  <c r="H2020"/>
  <c r="F218" i="1" s="1"/>
  <c r="A2022" i="2"/>
  <c r="B2022"/>
  <c r="C2022"/>
  <c r="G2022"/>
  <c r="H2022"/>
  <c r="F219" i="1" s="1"/>
  <c r="A2024" i="2"/>
  <c r="B2024"/>
  <c r="C2024"/>
  <c r="G2024"/>
  <c r="H2024"/>
  <c r="F220" i="1" s="1"/>
  <c r="A2026" i="2"/>
  <c r="B2026"/>
  <c r="C2026"/>
  <c r="G2026"/>
  <c r="F221" i="1"/>
  <c r="A2028" i="2"/>
  <c r="B2028"/>
  <c r="C2028"/>
  <c r="G2028"/>
  <c r="H2028"/>
  <c r="F222" i="1" s="1"/>
  <c r="I222" s="1"/>
  <c r="A2030" i="2"/>
  <c r="B2030"/>
  <c r="C2030"/>
  <c r="G2030"/>
  <c r="H2030"/>
  <c r="F223" i="1" s="1"/>
  <c r="A2032" i="2"/>
  <c r="B2032"/>
  <c r="G2032"/>
  <c r="H2032"/>
  <c r="F224" i="1" s="1"/>
  <c r="I224" s="1"/>
  <c r="A2034" i="2"/>
  <c r="B2034"/>
  <c r="C2034"/>
  <c r="G2034"/>
  <c r="H2034"/>
  <c r="F225" i="1" s="1"/>
  <c r="I225" s="1"/>
  <c r="A2036" i="2"/>
  <c r="B2036"/>
  <c r="C2036"/>
  <c r="G2036"/>
  <c r="H2036"/>
  <c r="F226" i="1" s="1"/>
  <c r="A2038" i="2"/>
  <c r="B2038"/>
  <c r="C2038"/>
  <c r="G2038"/>
  <c r="H2038"/>
  <c r="F227" i="1" s="1"/>
  <c r="I227" s="1"/>
  <c r="A2040" i="2"/>
  <c r="B2040"/>
  <c r="C2040"/>
  <c r="G2040"/>
  <c r="H2040"/>
  <c r="F228" i="1" s="1"/>
  <c r="A2042" i="2"/>
  <c r="B2042"/>
  <c r="C2042"/>
  <c r="G2042"/>
  <c r="H2042"/>
  <c r="F229" i="1" s="1"/>
  <c r="A2044" i="2"/>
  <c r="B2044"/>
  <c r="C2044"/>
  <c r="G2044"/>
  <c r="H2044"/>
  <c r="F230" i="1" s="1"/>
  <c r="I230" s="1"/>
  <c r="A2046" i="2"/>
  <c r="B2046"/>
  <c r="C2046"/>
  <c r="G2046"/>
  <c r="H2046"/>
  <c r="F231" i="1" s="1"/>
  <c r="I231" s="1"/>
  <c r="A2048" i="2"/>
  <c r="B2048"/>
  <c r="C2048"/>
  <c r="G2048"/>
  <c r="H2048"/>
  <c r="F232" i="1" s="1"/>
  <c r="A2050" i="2"/>
  <c r="B2050"/>
  <c r="C2050"/>
  <c r="G2050"/>
  <c r="H2050"/>
  <c r="F233" i="1" s="1"/>
  <c r="A2052" i="2"/>
  <c r="B2052"/>
  <c r="C2052"/>
  <c r="G2052"/>
  <c r="H2052"/>
  <c r="F234" i="1" s="1"/>
  <c r="A2054" i="2"/>
  <c r="B2054"/>
  <c r="C2054"/>
  <c r="G2054"/>
  <c r="H2054"/>
  <c r="F235" i="1" s="1"/>
  <c r="I235" s="1"/>
  <c r="A2056" i="2"/>
  <c r="B2056"/>
  <c r="C2056"/>
  <c r="G2056"/>
  <c r="H2056"/>
  <c r="F236" i="1" s="1"/>
  <c r="A2058" i="2"/>
  <c r="B2058"/>
  <c r="C2058"/>
  <c r="G2058"/>
  <c r="H2058"/>
  <c r="F237" i="1" s="1"/>
  <c r="I237" s="1"/>
  <c r="A2060" i="2"/>
  <c r="B2060"/>
  <c r="C2060"/>
  <c r="G2060"/>
  <c r="H2060"/>
  <c r="F238" i="1" s="1"/>
  <c r="A2062" i="2"/>
  <c r="B2062"/>
  <c r="C2062"/>
  <c r="G2062"/>
  <c r="F239" i="1"/>
  <c r="A2064" i="2"/>
  <c r="B2064"/>
  <c r="C2064"/>
  <c r="G2064"/>
  <c r="H2064"/>
  <c r="F240" i="1" s="1"/>
  <c r="A2066" i="2"/>
  <c r="B2066"/>
  <c r="C2066"/>
  <c r="G2066"/>
  <c r="H2066"/>
  <c r="F241" i="1" s="1"/>
  <c r="I241" s="1"/>
  <c r="A2068" i="2"/>
  <c r="B2068"/>
  <c r="C2068"/>
  <c r="G2068"/>
  <c r="H2068"/>
  <c r="F242" i="1" s="1"/>
  <c r="I242" s="1"/>
  <c r="A2070" i="2"/>
  <c r="B2070"/>
  <c r="C2070"/>
  <c r="G2070"/>
  <c r="H2070"/>
  <c r="F243" i="1" s="1"/>
  <c r="A2072" i="2"/>
  <c r="B2072"/>
  <c r="C2072"/>
  <c r="G2072"/>
  <c r="H2072"/>
  <c r="F244" i="1" s="1"/>
  <c r="A2074" i="2"/>
  <c r="B2074"/>
  <c r="C2074"/>
  <c r="G2074"/>
  <c r="H2074"/>
  <c r="F245" i="1" s="1"/>
  <c r="A2076" i="2"/>
  <c r="B2076"/>
  <c r="C2076"/>
  <c r="G2076"/>
  <c r="H2076"/>
  <c r="F246" i="1" s="1"/>
  <c r="A2078" i="2"/>
  <c r="B2078"/>
  <c r="C2078"/>
  <c r="G2078"/>
  <c r="H2078"/>
  <c r="F247" i="1" s="1"/>
  <c r="A2080" i="2"/>
  <c r="B2080"/>
  <c r="C2080"/>
  <c r="G2080"/>
  <c r="H2080"/>
  <c r="F248" i="1" s="1"/>
  <c r="A2082" i="2"/>
  <c r="B2082"/>
  <c r="C2082"/>
  <c r="G2082"/>
  <c r="H2082"/>
  <c r="F249" i="1" s="1"/>
  <c r="A2084" i="2"/>
  <c r="B2084"/>
  <c r="C2084"/>
  <c r="G2084"/>
  <c r="H2084"/>
  <c r="F250" i="1" s="1"/>
  <c r="I250" s="1"/>
  <c r="A2086" i="2"/>
  <c r="B2086"/>
  <c r="G2086"/>
  <c r="H2086"/>
  <c r="F251" i="1" s="1"/>
  <c r="A2088" i="2"/>
  <c r="B2088"/>
  <c r="C2088"/>
  <c r="G2088"/>
  <c r="F252" i="1"/>
  <c r="A2090" i="2"/>
  <c r="B2090"/>
  <c r="C2090"/>
  <c r="G2090"/>
  <c r="F253" i="1"/>
  <c r="A2092" i="2"/>
  <c r="B2092"/>
  <c r="C2092"/>
  <c r="G2092"/>
  <c r="H2092"/>
  <c r="F254" i="1" s="1"/>
  <c r="A2094" i="2"/>
  <c r="B2094"/>
  <c r="C2094"/>
  <c r="G2094"/>
  <c r="F255" i="1"/>
  <c r="I255" s="1"/>
  <c r="A2096" i="2"/>
  <c r="B2096"/>
  <c r="C2096"/>
  <c r="G2096"/>
  <c r="H2096"/>
  <c r="F256" i="1" s="1"/>
  <c r="A2098" i="2"/>
  <c r="B2098"/>
  <c r="C2098"/>
  <c r="G2098"/>
  <c r="F257" i="1"/>
  <c r="I257" s="1"/>
  <c r="B2103" i="2"/>
  <c r="C2103"/>
  <c r="A2104"/>
  <c r="B2104"/>
  <c r="C2104"/>
  <c r="G2104"/>
  <c r="H2104"/>
  <c r="F260" i="1" s="1"/>
  <c r="I260" s="1"/>
  <c r="A2106" i="2"/>
  <c r="B2106"/>
  <c r="C2106"/>
  <c r="G2106"/>
  <c r="H2106"/>
  <c r="F261" i="1" s="1"/>
  <c r="A2108" i="2"/>
  <c r="B2108"/>
  <c r="C2108"/>
  <c r="G2108"/>
  <c r="H2108"/>
  <c r="F262" i="1" s="1"/>
  <c r="A2110" i="2"/>
  <c r="B2110"/>
  <c r="C2110"/>
  <c r="G2110"/>
  <c r="H2110"/>
  <c r="F263" i="1" s="1"/>
  <c r="I263" s="1"/>
  <c r="A2112" i="2"/>
  <c r="B2112"/>
  <c r="C2112"/>
  <c r="G2112"/>
  <c r="H2112"/>
  <c r="F264" i="1" s="1"/>
  <c r="A2114" i="2"/>
  <c r="B2114"/>
  <c r="C2114"/>
  <c r="G2114"/>
  <c r="H2114"/>
  <c r="F265" i="1" s="1"/>
  <c r="A2116" i="2"/>
  <c r="B2116"/>
  <c r="C2116"/>
  <c r="G2116"/>
  <c r="H2116"/>
  <c r="F266" i="1" s="1"/>
  <c r="A2118" i="2"/>
  <c r="B2118"/>
  <c r="C2118"/>
  <c r="G2118"/>
  <c r="H2118"/>
  <c r="F267" i="1" s="1"/>
  <c r="A2120" i="2"/>
  <c r="B2120"/>
  <c r="C2120"/>
  <c r="G2120"/>
  <c r="H2120"/>
  <c r="F268" i="1" s="1"/>
  <c r="A2122" i="2"/>
  <c r="B2122"/>
  <c r="C2122"/>
  <c r="G2122"/>
  <c r="H2122"/>
  <c r="F269" i="1" s="1"/>
  <c r="A2124" i="2"/>
  <c r="B2124"/>
  <c r="C2124"/>
  <c r="G2124"/>
  <c r="H2124"/>
  <c r="F270" i="1" s="1"/>
  <c r="I270" s="1"/>
  <c r="A2126" i="2"/>
  <c r="B2126"/>
  <c r="C2126"/>
  <c r="G2126"/>
  <c r="H2126"/>
  <c r="F271" i="1" s="1"/>
  <c r="A2128" i="2"/>
  <c r="B2128"/>
  <c r="C2128"/>
  <c r="G2128"/>
  <c r="H2128"/>
  <c r="F272" i="1" s="1"/>
  <c r="I272" s="1"/>
  <c r="A2130" i="2"/>
  <c r="B2130"/>
  <c r="C2130"/>
  <c r="G2130"/>
  <c r="H2130"/>
  <c r="F273" i="1" s="1"/>
  <c r="A2132" i="2"/>
  <c r="B2132"/>
  <c r="C2132"/>
  <c r="G2132"/>
  <c r="H2132"/>
  <c r="F274" i="1" s="1"/>
  <c r="A2134" i="2"/>
  <c r="B2134"/>
  <c r="C2134"/>
  <c r="G2134"/>
  <c r="H2134"/>
  <c r="F275" i="1" s="1"/>
  <c r="A2136" i="2"/>
  <c r="B2136"/>
  <c r="C2136"/>
  <c r="G2136"/>
  <c r="H2136"/>
  <c r="F276" i="1" s="1"/>
  <c r="A2138" i="2"/>
  <c r="B2138"/>
  <c r="C2138"/>
  <c r="G2138"/>
  <c r="H2138"/>
  <c r="F277" i="1" s="1"/>
  <c r="A2140" i="2"/>
  <c r="B2140"/>
  <c r="C2140"/>
  <c r="G2140"/>
  <c r="H2140"/>
  <c r="F278" i="1" s="1"/>
  <c r="A2142" i="2"/>
  <c r="B2142"/>
  <c r="C2142"/>
  <c r="G2142"/>
  <c r="H2142"/>
  <c r="F279" i="1" s="1"/>
  <c r="A2144" i="2"/>
  <c r="B2144"/>
  <c r="C2144"/>
  <c r="G2144"/>
  <c r="H2144"/>
  <c r="F280" i="1" s="1"/>
  <c r="I280" s="1"/>
  <c r="A2146" i="2"/>
  <c r="B2146"/>
  <c r="C2146"/>
  <c r="G2146"/>
  <c r="H2146"/>
  <c r="F281" i="1" s="1"/>
  <c r="A2148" i="2"/>
  <c r="B2148"/>
  <c r="C2148"/>
  <c r="G2148"/>
  <c r="H2149"/>
  <c r="H2148" s="1"/>
  <c r="F282" i="1" s="1"/>
  <c r="A2150" i="2"/>
  <c r="B2150"/>
  <c r="C2150"/>
  <c r="G2150"/>
  <c r="H2150"/>
  <c r="F283" i="1" s="1"/>
  <c r="I283" s="1"/>
  <c r="A2152" i="2"/>
  <c r="B2152"/>
  <c r="C2152"/>
  <c r="G2152"/>
  <c r="H2152"/>
  <c r="F284" i="1" s="1"/>
  <c r="I284" s="1"/>
  <c r="A2154" i="2"/>
  <c r="B2154"/>
  <c r="C2154"/>
  <c r="G2154"/>
  <c r="H2154"/>
  <c r="F285" i="1" s="1"/>
  <c r="A2156" i="2"/>
  <c r="B2156"/>
  <c r="C2156"/>
  <c r="G2156"/>
  <c r="H2156"/>
  <c r="F286" i="1" s="1"/>
  <c r="A2158" i="2"/>
  <c r="B2158"/>
  <c r="C2158"/>
  <c r="G2158"/>
  <c r="H2158"/>
  <c r="F287" i="1" s="1"/>
  <c r="A2160" i="2"/>
  <c r="B2160"/>
  <c r="C2160"/>
  <c r="G2160"/>
  <c r="H2160"/>
  <c r="F288" i="1" s="1"/>
  <c r="I288" s="1"/>
  <c r="A2162" i="2"/>
  <c r="B2162"/>
  <c r="C2162"/>
  <c r="H2162"/>
  <c r="F289" i="1" s="1"/>
  <c r="A2165" i="2"/>
  <c r="B2165"/>
  <c r="C2165"/>
  <c r="G2165"/>
  <c r="H2165"/>
  <c r="F290" i="1" s="1"/>
  <c r="A2167" i="2"/>
  <c r="B2167"/>
  <c r="C2167"/>
  <c r="G2167"/>
  <c r="H2167"/>
  <c r="F291" i="1" s="1"/>
  <c r="A2169" i="2"/>
  <c r="B2169"/>
  <c r="C2169"/>
  <c r="G2169"/>
  <c r="H2169"/>
  <c r="F292" i="1" s="1"/>
  <c r="A2171" i="2"/>
  <c r="B2171"/>
  <c r="C2171"/>
  <c r="G2171"/>
  <c r="H2171"/>
  <c r="F293" i="1" s="1"/>
  <c r="I293" s="1"/>
  <c r="B2184" i="2"/>
  <c r="C2184"/>
  <c r="A2185"/>
  <c r="B2185"/>
  <c r="C2185"/>
  <c r="G2185"/>
  <c r="H2185"/>
  <c r="F299" i="1" s="1"/>
  <c r="I299" s="1"/>
  <c r="A2187" i="2"/>
  <c r="B2187"/>
  <c r="C2187"/>
  <c r="G2187"/>
  <c r="H2187"/>
  <c r="F300" i="1" s="1"/>
  <c r="I300" s="1"/>
  <c r="A2189" i="2"/>
  <c r="B2189"/>
  <c r="C2189"/>
  <c r="G2189"/>
  <c r="H2189"/>
  <c r="F301" i="1" s="1"/>
  <c r="A2191" i="2"/>
  <c r="B2191"/>
  <c r="C2191"/>
  <c r="G2191"/>
  <c r="H2191"/>
  <c r="F302" i="1" s="1"/>
  <c r="I302" s="1"/>
  <c r="A2194" i="2"/>
  <c r="B2194"/>
  <c r="C2194"/>
  <c r="G2194"/>
  <c r="H2194"/>
  <c r="F303" i="1" s="1"/>
  <c r="A2200" i="2"/>
  <c r="B2200"/>
  <c r="G2200"/>
  <c r="H2200"/>
  <c r="F304" i="1" s="1"/>
  <c r="A2202" i="2"/>
  <c r="B2202"/>
  <c r="C2202"/>
  <c r="G2202"/>
  <c r="H2202"/>
  <c r="F305" i="1" s="1"/>
  <c r="I305" s="1"/>
  <c r="A2208" i="2"/>
  <c r="B2208"/>
  <c r="C2208"/>
  <c r="G2208"/>
  <c r="H2208"/>
  <c r="F306" i="1" s="1"/>
  <c r="I306" s="1"/>
  <c r="A2216" i="2"/>
  <c r="B2216"/>
  <c r="C2216"/>
  <c r="G2216"/>
  <c r="H2216"/>
  <c r="F307" i="1" s="1"/>
  <c r="A2219" i="2"/>
  <c r="B2219"/>
  <c r="C2219"/>
  <c r="G2219"/>
  <c r="H2219"/>
  <c r="F308" i="1" s="1"/>
  <c r="A2222" i="2"/>
  <c r="B2222"/>
  <c r="C2222"/>
  <c r="G2222"/>
  <c r="H2222"/>
  <c r="F309" i="1" s="1"/>
  <c r="A2224" i="2"/>
  <c r="B2224"/>
  <c r="C2224"/>
  <c r="G2224"/>
  <c r="H2224"/>
  <c r="F310" i="1" s="1"/>
  <c r="A2226" i="2"/>
  <c r="B2226"/>
  <c r="C2226"/>
  <c r="G2226"/>
  <c r="F311" i="1"/>
  <c r="I311" s="1"/>
  <c r="A2233" i="2"/>
  <c r="B2233"/>
  <c r="C2233"/>
  <c r="G2233"/>
  <c r="H2233"/>
  <c r="F312" i="1" s="1"/>
  <c r="I312" s="1"/>
  <c r="A2235" i="2"/>
  <c r="B2235"/>
  <c r="C2235"/>
  <c r="G2235"/>
  <c r="H2235"/>
  <c r="F313" i="1" s="1"/>
  <c r="I313" s="1"/>
  <c r="A2237" i="2"/>
  <c r="B2237"/>
  <c r="G2237"/>
  <c r="F314" i="1"/>
  <c r="B2243" i="2"/>
  <c r="C2243"/>
  <c r="A2244"/>
  <c r="B2244"/>
  <c r="C2244"/>
  <c r="G2244"/>
  <c r="H2244"/>
  <c r="A2253"/>
  <c r="B2253"/>
  <c r="C2253"/>
  <c r="G2253"/>
  <c r="H2253"/>
  <c r="F317" i="1" s="1"/>
  <c r="A2256" i="2"/>
  <c r="B2256"/>
  <c r="C2256"/>
  <c r="G2256"/>
  <c r="H2256"/>
  <c r="H2259" s="1"/>
  <c r="B2301"/>
  <c r="C2301"/>
  <c r="B2302"/>
  <c r="C2302"/>
  <c r="A2303"/>
  <c r="B2303"/>
  <c r="C2303"/>
  <c r="G2303"/>
  <c r="A2305"/>
  <c r="B2305"/>
  <c r="C2305"/>
  <c r="G2305"/>
  <c r="H2305"/>
  <c r="F344" i="1" s="1"/>
  <c r="A2307" i="2"/>
  <c r="B2307"/>
  <c r="C2307"/>
  <c r="G2307"/>
  <c r="H2308"/>
  <c r="B2309"/>
  <c r="C2309"/>
  <c r="G2309"/>
  <c r="F346" i="1"/>
  <c r="A2311" i="2"/>
  <c r="B2311"/>
  <c r="C2311"/>
  <c r="G2311"/>
  <c r="F347" i="1"/>
  <c r="B2313" i="2"/>
  <c r="C2313"/>
  <c r="G2313"/>
  <c r="F348" i="1"/>
  <c r="B2315" i="2"/>
  <c r="C2315"/>
  <c r="G2315"/>
  <c r="F349" i="1"/>
  <c r="A2317" i="2"/>
  <c r="B2317"/>
  <c r="C2317"/>
  <c r="G2317"/>
  <c r="H2317"/>
  <c r="F350" i="1" s="1"/>
  <c r="A2319" i="2"/>
  <c r="B2319"/>
  <c r="C2319"/>
  <c r="G2319"/>
  <c r="H2319"/>
  <c r="F351" i="1" s="1"/>
  <c r="A2321" i="2"/>
  <c r="B2321"/>
  <c r="C2321"/>
  <c r="G2321"/>
  <c r="H2321"/>
  <c r="F352" i="1" s="1"/>
  <c r="A2323" i="2"/>
  <c r="B2323"/>
  <c r="C2323"/>
  <c r="G2323"/>
  <c r="H2323"/>
  <c r="F353" i="1" s="1"/>
  <c r="I353" s="1"/>
  <c r="A2325" i="2"/>
  <c r="B2325"/>
  <c r="C2325"/>
  <c r="G2325"/>
  <c r="H2325"/>
  <c r="F354" i="1" s="1"/>
  <c r="I354" s="1"/>
  <c r="A2327" i="2"/>
  <c r="B2327"/>
  <c r="C2327"/>
  <c r="G2327"/>
  <c r="H2327"/>
  <c r="F355" i="1" s="1"/>
  <c r="A2329" i="2"/>
  <c r="B2329"/>
  <c r="C2329"/>
  <c r="G2329"/>
  <c r="H2329"/>
  <c r="F356" i="1" s="1"/>
  <c r="A2331" i="2"/>
  <c r="B2331"/>
  <c r="C2331"/>
  <c r="G2331"/>
  <c r="H2331"/>
  <c r="F357" i="1" s="1"/>
  <c r="A2333" i="2"/>
  <c r="B2333"/>
  <c r="C2333"/>
  <c r="G2333"/>
  <c r="H2333"/>
  <c r="F358" i="1" s="1"/>
  <c r="I358" s="1"/>
  <c r="A2335" i="2"/>
  <c r="B2335"/>
  <c r="C2335"/>
  <c r="G2335"/>
  <c r="H2335"/>
  <c r="F359" i="1" s="1"/>
  <c r="A2337" i="2"/>
  <c r="B2337"/>
  <c r="C2337"/>
  <c r="G2337"/>
  <c r="H2337"/>
  <c r="F360" i="1" s="1"/>
  <c r="B2339" i="2"/>
  <c r="C2339"/>
  <c r="G2339"/>
  <c r="H2339"/>
  <c r="F361" i="1" s="1"/>
  <c r="A2341" i="2"/>
  <c r="B2341"/>
  <c r="C2341"/>
  <c r="G2341"/>
  <c r="H2341"/>
  <c r="F362" i="1" s="1"/>
  <c r="A2343" i="2"/>
  <c r="B2343"/>
  <c r="C2343"/>
  <c r="G2343"/>
  <c r="H2343"/>
  <c r="F363" i="1" s="1"/>
  <c r="A2345" i="2"/>
  <c r="B2345"/>
  <c r="C2345"/>
  <c r="G2345"/>
  <c r="H2345"/>
  <c r="F364" i="1" s="1"/>
  <c r="I364" s="1"/>
  <c r="A2347" i="2"/>
  <c r="B2347"/>
  <c r="C2347"/>
  <c r="G2347"/>
  <c r="H2347"/>
  <c r="F365" i="1" s="1"/>
  <c r="A2349" i="2"/>
  <c r="B2349"/>
  <c r="C2349"/>
  <c r="G2349"/>
  <c r="H2349"/>
  <c r="F366" i="1" s="1"/>
  <c r="A2351" i="2"/>
  <c r="B2351"/>
  <c r="C2351"/>
  <c r="G2351"/>
  <c r="H2351"/>
  <c r="F367" i="1" s="1"/>
  <c r="A2353" i="2"/>
  <c r="B2353"/>
  <c r="C2353"/>
  <c r="G2353"/>
  <c r="H2353"/>
  <c r="F368" i="1" s="1"/>
  <c r="I368" s="1"/>
  <c r="A2355" i="2"/>
  <c r="B2355"/>
  <c r="C2355"/>
  <c r="G2355"/>
  <c r="H2355"/>
  <c r="F369" i="1" s="1"/>
  <c r="A2357" i="2"/>
  <c r="B2357"/>
  <c r="C2357"/>
  <c r="G2357"/>
  <c r="H2357"/>
  <c r="F370" i="1" s="1"/>
  <c r="A2359" i="2"/>
  <c r="B2359"/>
  <c r="C2359"/>
  <c r="G2359"/>
  <c r="H2359"/>
  <c r="F371" i="1" s="1"/>
  <c r="A2361" i="2"/>
  <c r="B2361"/>
  <c r="C2361"/>
  <c r="G2361"/>
  <c r="H2362"/>
  <c r="H2361" s="1"/>
  <c r="F372" i="1" s="1"/>
  <c r="A2363" i="2"/>
  <c r="B2363"/>
  <c r="C2363"/>
  <c r="G2363"/>
  <c r="H2363"/>
  <c r="F373" i="1" s="1"/>
  <c r="A2365" i="2"/>
  <c r="B2365"/>
  <c r="C2365"/>
  <c r="G2365"/>
  <c r="H2365"/>
  <c r="F374" i="1" s="1"/>
  <c r="A2368" i="2"/>
  <c r="B2368"/>
  <c r="C2368"/>
  <c r="G2368"/>
  <c r="H2368"/>
  <c r="F375" i="1" s="1"/>
  <c r="A2370" i="2"/>
  <c r="B2370"/>
  <c r="C2370"/>
  <c r="G2370"/>
  <c r="H2370"/>
  <c r="F376" i="1" s="1"/>
  <c r="I376" s="1"/>
  <c r="A2372" i="2"/>
  <c r="B2372"/>
  <c r="C2372"/>
  <c r="G2372"/>
  <c r="H2372"/>
  <c r="A2374"/>
  <c r="B2374"/>
  <c r="C2374"/>
  <c r="G2374"/>
  <c r="H2374"/>
  <c r="F378" i="1" s="1"/>
  <c r="I378" s="1"/>
  <c r="A2376" i="2"/>
  <c r="B2376"/>
  <c r="C2376"/>
  <c r="G2376"/>
  <c r="H2376"/>
  <c r="F379" i="1" s="1"/>
  <c r="I379" s="1"/>
  <c r="A2378" i="2"/>
  <c r="B2378"/>
  <c r="C2378"/>
  <c r="G2378"/>
  <c r="H2378"/>
  <c r="F380" i="1" s="1"/>
  <c r="A2380" i="2"/>
  <c r="B2380"/>
  <c r="C2380"/>
  <c r="G2380"/>
  <c r="H2380"/>
  <c r="F381" i="1" s="1"/>
  <c r="I381" s="1"/>
  <c r="A2382" i="2"/>
  <c r="B2382"/>
  <c r="C2382"/>
  <c r="G2382"/>
  <c r="H2382"/>
  <c r="F382" i="1" s="1"/>
  <c r="I382" s="1"/>
  <c r="A2384" i="2"/>
  <c r="B2384"/>
  <c r="C2384"/>
  <c r="G2384"/>
  <c r="H2384"/>
  <c r="F383" i="1" s="1"/>
  <c r="A2386" i="2"/>
  <c r="B2386"/>
  <c r="C2386"/>
  <c r="G2386"/>
  <c r="H2386"/>
  <c r="F384" i="1" s="1"/>
  <c r="A2388" i="2"/>
  <c r="B2388"/>
  <c r="C2388"/>
  <c r="G2388"/>
  <c r="H2388"/>
  <c r="F385" i="1" s="1"/>
  <c r="A2390" i="2"/>
  <c r="B2390"/>
  <c r="C2390"/>
  <c r="G2390"/>
  <c r="H2391"/>
  <c r="H2390" s="1"/>
  <c r="F386" i="1" s="1"/>
  <c r="A2392" i="2"/>
  <c r="B2392"/>
  <c r="C2392"/>
  <c r="G2392"/>
  <c r="H2392"/>
  <c r="F387" i="1" s="1"/>
  <c r="A2394" i="2"/>
  <c r="B2394"/>
  <c r="C2394"/>
  <c r="G2394"/>
  <c r="H2394"/>
  <c r="F388" i="1" s="1"/>
  <c r="I388" s="1"/>
  <c r="A2396" i="2"/>
  <c r="B2396"/>
  <c r="C2396"/>
  <c r="G2396"/>
  <c r="H2396"/>
  <c r="F389" i="1" s="1"/>
  <c r="I389" s="1"/>
  <c r="A2398" i="2"/>
  <c r="B2398"/>
  <c r="C2398"/>
  <c r="G2398"/>
  <c r="H2398"/>
  <c r="F390" i="1" s="1"/>
  <c r="A2400" i="2"/>
  <c r="B2400"/>
  <c r="C2400"/>
  <c r="G2400"/>
  <c r="H2400"/>
  <c r="F391" i="1" s="1"/>
  <c r="B2402" i="2"/>
  <c r="C2402"/>
  <c r="G2402"/>
  <c r="H2402"/>
  <c r="F392" i="1" s="1"/>
  <c r="A2404" i="2"/>
  <c r="B2404"/>
  <c r="C2404"/>
  <c r="G2404"/>
  <c r="H2404"/>
  <c r="F393" i="1" s="1"/>
  <c r="I393" s="1"/>
  <c r="A2406" i="2"/>
  <c r="B2406"/>
  <c r="C2406"/>
  <c r="G2406"/>
  <c r="H2406"/>
  <c r="F394" i="1" s="1"/>
  <c r="I394" s="1"/>
  <c r="A2408" i="2"/>
  <c r="B2408"/>
  <c r="C2408"/>
  <c r="G2408"/>
  <c r="H2408"/>
  <c r="F395" i="1" s="1"/>
  <c r="I395" s="1"/>
  <c r="A2410" i="2"/>
  <c r="B2410"/>
  <c r="C2410"/>
  <c r="G2410"/>
  <c r="H2410"/>
  <c r="F396" i="1" s="1"/>
  <c r="A2412" i="2"/>
  <c r="B2412"/>
  <c r="C2412"/>
  <c r="G2412"/>
  <c r="H2412"/>
  <c r="F397" i="1" s="1"/>
  <c r="B2415" i="2"/>
  <c r="C2415"/>
  <c r="A2416"/>
  <c r="B2416"/>
  <c r="C2416"/>
  <c r="G2416"/>
  <c r="H2416"/>
  <c r="F399" i="1" s="1"/>
  <c r="A2418" i="2"/>
  <c r="B2418"/>
  <c r="C2418"/>
  <c r="G2418"/>
  <c r="F400" i="1"/>
  <c r="A2433" i="2"/>
  <c r="B2433"/>
  <c r="C2433"/>
  <c r="G2433"/>
  <c r="H2433"/>
  <c r="F401" i="1" s="1"/>
  <c r="I401" s="1"/>
  <c r="A2435" i="2"/>
  <c r="B2435"/>
  <c r="C2435"/>
  <c r="G2435"/>
  <c r="A2437"/>
  <c r="B2437"/>
  <c r="C2437"/>
  <c r="G2437"/>
  <c r="H2437"/>
  <c r="F403" i="1" s="1"/>
  <c r="I403" s="1"/>
  <c r="A2449" i="2"/>
  <c r="B2449"/>
  <c r="G2449"/>
  <c r="H2449"/>
  <c r="F409" i="1" s="1"/>
  <c r="A2451" i="2"/>
  <c r="B2451"/>
  <c r="C2451"/>
  <c r="G2451"/>
  <c r="H2451"/>
  <c r="F410" i="1" s="1"/>
  <c r="I410" s="1"/>
  <c r="A2453" i="2"/>
  <c r="B2453"/>
  <c r="G2453"/>
  <c r="H2453"/>
  <c r="F411" i="1" s="1"/>
  <c r="A2455" i="2"/>
  <c r="B2455"/>
  <c r="C2455"/>
  <c r="G2455"/>
  <c r="H2455"/>
  <c r="F412" i="1" s="1"/>
  <c r="A2457" i="2"/>
  <c r="B2457"/>
  <c r="C2457"/>
  <c r="G2457"/>
  <c r="H2457"/>
  <c r="F413" i="1" s="1"/>
  <c r="I413" s="1"/>
  <c r="A2466" i="2"/>
  <c r="B2466"/>
  <c r="C2466"/>
  <c r="G2466"/>
  <c r="H2466"/>
  <c r="F414" i="1" s="1"/>
  <c r="I414" s="1"/>
  <c r="A2469" i="2"/>
  <c r="B2469"/>
  <c r="C2469"/>
  <c r="G2469"/>
  <c r="H2469"/>
  <c r="F415" i="1" s="1"/>
  <c r="A2472" i="2"/>
  <c r="B2472"/>
  <c r="C2472"/>
  <c r="G2472"/>
  <c r="H2472"/>
  <c r="F416" i="1" s="1"/>
  <c r="A2475" i="2"/>
  <c r="B2475"/>
  <c r="C2475"/>
  <c r="G2475"/>
  <c r="H2475"/>
  <c r="F417" i="1" s="1"/>
  <c r="I417" s="1"/>
  <c r="A2478" i="2"/>
  <c r="B2478"/>
  <c r="C2478"/>
  <c r="G2478"/>
  <c r="H2478"/>
  <c r="F418" i="1" s="1"/>
  <c r="I418" s="1"/>
  <c r="A2481" i="2"/>
  <c r="B2481"/>
  <c r="C2481"/>
  <c r="G2481"/>
  <c r="H2481"/>
  <c r="F419" i="1" s="1"/>
  <c r="A2484" i="2"/>
  <c r="B2484"/>
  <c r="C2484"/>
  <c r="G2484"/>
  <c r="H2484"/>
  <c r="F420" i="1" s="1"/>
  <c r="I420" s="1"/>
  <c r="A2487" i="2"/>
  <c r="B2487"/>
  <c r="C2487"/>
  <c r="G2487"/>
  <c r="H2487"/>
  <c r="F421" i="1" s="1"/>
  <c r="A2489" i="2"/>
  <c r="B2489"/>
  <c r="C2489"/>
  <c r="G2489"/>
  <c r="H2489"/>
  <c r="F422" i="1" s="1"/>
  <c r="I422" s="1"/>
  <c r="A2491" i="2"/>
  <c r="B2491"/>
  <c r="C2491"/>
  <c r="G2491"/>
  <c r="H2491"/>
  <c r="F423" i="1" s="1"/>
  <c r="I423" s="1"/>
  <c r="A2493" i="2"/>
  <c r="B2493"/>
  <c r="C2493"/>
  <c r="G2493"/>
  <c r="H2493"/>
  <c r="F424" i="1" s="1"/>
  <c r="A2495" i="2"/>
  <c r="B2495"/>
  <c r="C2495"/>
  <c r="G2495"/>
  <c r="H2495"/>
  <c r="F425" i="1" s="1"/>
  <c r="I425" s="1"/>
  <c r="A2497" i="2"/>
  <c r="B2497"/>
  <c r="C2497"/>
  <c r="G2497"/>
  <c r="H2497"/>
  <c r="F426" i="1" s="1"/>
  <c r="A2499" i="2"/>
  <c r="B2499"/>
  <c r="C2499"/>
  <c r="G2499"/>
  <c r="H2499"/>
  <c r="F427" i="1" s="1"/>
  <c r="I427" s="1"/>
  <c r="A2505" i="2"/>
  <c r="B2505"/>
  <c r="C2505"/>
  <c r="G2505"/>
  <c r="H2505"/>
  <c r="F430" i="1" s="1"/>
  <c r="I430" s="1"/>
  <c r="A2507" i="2"/>
  <c r="B2507"/>
  <c r="C2507"/>
  <c r="G2507"/>
  <c r="H2507"/>
  <c r="F431" i="1" s="1"/>
  <c r="A2509" i="2"/>
  <c r="B2509"/>
  <c r="C2509"/>
  <c r="G2509"/>
  <c r="H2509"/>
  <c r="F432" i="1" s="1"/>
  <c r="I432" s="1"/>
  <c r="A2511" i="2"/>
  <c r="B2511"/>
  <c r="C2511"/>
  <c r="G2511"/>
  <c r="H2511"/>
  <c r="F433" i="1" s="1"/>
  <c r="A2513" i="2"/>
  <c r="B2513"/>
  <c r="C2513"/>
  <c r="G2513"/>
  <c r="H2513"/>
  <c r="F434" i="1" s="1"/>
  <c r="A2515" i="2"/>
  <c r="B2515"/>
  <c r="C2515"/>
  <c r="G2515"/>
  <c r="H2515"/>
  <c r="F435" i="1" s="1"/>
  <c r="A2517" i="2"/>
  <c r="B2517"/>
  <c r="C2517"/>
  <c r="G2517"/>
  <c r="H2517"/>
  <c r="F436" i="1" s="1"/>
  <c r="I436" s="1"/>
  <c r="A2519" i="2"/>
  <c r="B2519"/>
  <c r="C2519"/>
  <c r="G2519"/>
  <c r="H2519"/>
  <c r="F437" i="1" s="1"/>
  <c r="I437" s="1"/>
  <c r="A2521" i="2"/>
  <c r="B2521"/>
  <c r="C2521"/>
  <c r="G2521"/>
  <c r="H2521"/>
  <c r="F438" i="1" s="1"/>
  <c r="A2524" i="2"/>
  <c r="B2524"/>
  <c r="C2524"/>
  <c r="G2524"/>
  <c r="H2524"/>
  <c r="F439" i="1" s="1"/>
  <c r="I439" s="1"/>
  <c r="A2527" i="2"/>
  <c r="B2527"/>
  <c r="C2527"/>
  <c r="G2527"/>
  <c r="F440" i="1"/>
  <c r="A2529" i="2"/>
  <c r="B2529"/>
  <c r="C2529"/>
  <c r="G2529"/>
  <c r="F441" i="1"/>
  <c r="A2531" i="2"/>
  <c r="B2531"/>
  <c r="C2531"/>
  <c r="G2531"/>
  <c r="F442" i="1"/>
  <c r="A2533" i="2"/>
  <c r="B2533"/>
  <c r="C2533"/>
  <c r="G2533"/>
  <c r="F443" i="1"/>
  <c r="B2537" i="2"/>
  <c r="C2537"/>
  <c r="G2537"/>
  <c r="F445" i="1"/>
  <c r="I445" s="1"/>
  <c r="B2541" i="2"/>
  <c r="C2541"/>
  <c r="A2542"/>
  <c r="B2542"/>
  <c r="C2542"/>
  <c r="G2542"/>
  <c r="H2542"/>
  <c r="F447" i="1" s="1"/>
  <c r="A2544" i="2"/>
  <c r="B2544"/>
  <c r="C2544"/>
  <c r="G2544"/>
  <c r="H2544"/>
  <c r="F448" i="1" s="1"/>
  <c r="A2546" i="2"/>
  <c r="B2546"/>
  <c r="C2546"/>
  <c r="G2546"/>
  <c r="H2546"/>
  <c r="F449" i="1" s="1"/>
  <c r="A2548" i="2"/>
  <c r="B2548"/>
  <c r="C2548"/>
  <c r="G2548"/>
  <c r="H2548"/>
  <c r="F450" i="1" s="1"/>
  <c r="A2550" i="2"/>
  <c r="B2550"/>
  <c r="C2550"/>
  <c r="H2550"/>
  <c r="F451" i="1" s="1"/>
  <c r="A2554" i="2"/>
  <c r="B2554"/>
  <c r="C2554"/>
  <c r="G2554"/>
  <c r="H2554"/>
  <c r="F453" i="1" s="1"/>
  <c r="I453" s="1"/>
  <c r="A2556" i="2"/>
  <c r="B2556"/>
  <c r="C2556"/>
  <c r="G2556"/>
  <c r="H2556"/>
  <c r="F454" i="1" s="1"/>
  <c r="I454" s="1"/>
  <c r="A2558" i="2"/>
  <c r="B2558"/>
  <c r="C2558"/>
  <c r="G2558"/>
  <c r="H2558"/>
  <c r="F455" i="1" s="1"/>
  <c r="B2561" i="2"/>
  <c r="C2561"/>
  <c r="A2562"/>
  <c r="B2562"/>
  <c r="C2562"/>
  <c r="G2562"/>
  <c r="H2562"/>
  <c r="F457" i="1" s="1"/>
  <c r="A2566" i="2"/>
  <c r="B2566"/>
  <c r="C2566"/>
  <c r="G2566"/>
  <c r="H2566"/>
  <c r="F459" i="1" s="1"/>
  <c r="A2568" i="2"/>
  <c r="B2568"/>
  <c r="C2568"/>
  <c r="G2568"/>
  <c r="H2568"/>
  <c r="F460" i="1" s="1"/>
  <c r="A2570" i="2"/>
  <c r="B2570"/>
  <c r="C2570"/>
  <c r="G2570"/>
  <c r="H2570"/>
  <c r="F461" i="1" s="1"/>
  <c r="A2572" i="2"/>
  <c r="B2572"/>
  <c r="C2572"/>
  <c r="G2572"/>
  <c r="H2572"/>
  <c r="F462" i="1" s="1"/>
  <c r="I462" s="1"/>
  <c r="A2574" i="2"/>
  <c r="B2574"/>
  <c r="C2574"/>
  <c r="G2574"/>
  <c r="H2574"/>
  <c r="F463" i="1" s="1"/>
  <c r="A2576" i="2"/>
  <c r="B2576"/>
  <c r="C2576"/>
  <c r="G2576"/>
  <c r="H2576"/>
  <c r="F464" i="1" s="1"/>
  <c r="A2578" i="2"/>
  <c r="B2578"/>
  <c r="C2578"/>
  <c r="G2578"/>
  <c r="H2578"/>
  <c r="F465" i="1" s="1"/>
  <c r="A2580" i="2"/>
  <c r="B2580"/>
  <c r="C2580"/>
  <c r="G2580"/>
  <c r="H2580"/>
  <c r="F466" i="1" s="1"/>
  <c r="A2583" i="2"/>
  <c r="B2583"/>
  <c r="C2583"/>
  <c r="G2583"/>
  <c r="H2583"/>
  <c r="F467" i="1" s="1"/>
  <c r="A2585" i="2"/>
  <c r="B2585"/>
  <c r="C2585"/>
  <c r="G2585"/>
  <c r="H2585"/>
  <c r="F468" i="1" s="1"/>
  <c r="I468" s="1"/>
  <c r="A2587" i="2"/>
  <c r="B2587"/>
  <c r="C2587"/>
  <c r="G2587"/>
  <c r="H2587"/>
  <c r="F469" i="1" s="1"/>
  <c r="A2589" i="2"/>
  <c r="B2589"/>
  <c r="C2589"/>
  <c r="G2589"/>
  <c r="H2589"/>
  <c r="F470" i="1" s="1"/>
  <c r="A2591" i="2"/>
  <c r="B2591"/>
  <c r="C2591"/>
  <c r="G2591"/>
  <c r="H2591"/>
  <c r="F471" i="1" s="1"/>
  <c r="A2593" i="2"/>
  <c r="B2593"/>
  <c r="C2593"/>
  <c r="G2593"/>
  <c r="H2593"/>
  <c r="F472" i="1" s="1"/>
  <c r="I472" s="1"/>
  <c r="A2595" i="2"/>
  <c r="B2595"/>
  <c r="C2595"/>
  <c r="G2595"/>
  <c r="H2595"/>
  <c r="F473" i="1" s="1"/>
  <c r="I473" s="1"/>
  <c r="A2597" i="2"/>
  <c r="B2597"/>
  <c r="C2597"/>
  <c r="G2597"/>
  <c r="H2597"/>
  <c r="F474" i="1" s="1"/>
  <c r="B2599" i="2"/>
  <c r="C2599"/>
  <c r="G2599"/>
  <c r="F475" i="1"/>
  <c r="B2601" i="2"/>
  <c r="C2601"/>
  <c r="G2601"/>
  <c r="A2603"/>
  <c r="B2603"/>
  <c r="C2603"/>
  <c r="G2603"/>
  <c r="H2603"/>
  <c r="F477" i="1" s="1"/>
  <c r="A2605" i="2"/>
  <c r="B2605"/>
  <c r="C2605"/>
  <c r="G2605"/>
  <c r="H2605"/>
  <c r="F478" i="1" s="1"/>
  <c r="I478" s="1"/>
  <c r="A2607" i="2"/>
  <c r="B2607"/>
  <c r="C2607"/>
  <c r="G2607"/>
  <c r="H2607"/>
  <c r="F479" i="1" s="1"/>
  <c r="I479" s="1"/>
  <c r="A2609" i="2"/>
  <c r="B2609"/>
  <c r="C2609"/>
  <c r="G2609"/>
  <c r="H2609"/>
  <c r="F480" i="1" s="1"/>
  <c r="I480" s="1"/>
  <c r="B2611" i="2"/>
  <c r="C2611"/>
  <c r="G2611"/>
  <c r="H2611"/>
  <c r="F481" i="1" s="1"/>
  <c r="A2613" i="2"/>
  <c r="B2613"/>
  <c r="C2613"/>
  <c r="G2613"/>
  <c r="H2613"/>
  <c r="A2615"/>
  <c r="B2615"/>
  <c r="C2615"/>
  <c r="G2615"/>
  <c r="H2615"/>
  <c r="F483" i="1" s="1"/>
  <c r="I483" s="1"/>
  <c r="B2618" i="2"/>
  <c r="C2618"/>
  <c r="A2619"/>
  <c r="B2619"/>
  <c r="C2619"/>
  <c r="G2619"/>
  <c r="H2619"/>
  <c r="F485" i="1" s="1"/>
  <c r="I485" s="1"/>
  <c r="A2621" i="2"/>
  <c r="B2621"/>
  <c r="C2621"/>
  <c r="H2621"/>
  <c r="A2623"/>
  <c r="B2623"/>
  <c r="C2623"/>
  <c r="G2623"/>
  <c r="H2623"/>
  <c r="F487" i="1" s="1"/>
  <c r="A2644" i="2"/>
  <c r="B2644"/>
  <c r="C2644"/>
  <c r="G2644"/>
  <c r="H2644"/>
  <c r="F497" i="1" s="1"/>
  <c r="I497" s="1"/>
  <c r="A2646" i="2"/>
  <c r="B2646"/>
  <c r="C2646"/>
  <c r="G2646"/>
  <c r="F498" i="1"/>
  <c r="A2657" i="2"/>
  <c r="B2657"/>
  <c r="C2657"/>
  <c r="G2657"/>
  <c r="H2657"/>
  <c r="F499" i="1" s="1"/>
  <c r="A2659" i="2"/>
  <c r="B2659"/>
  <c r="C2659"/>
  <c r="G2659"/>
  <c r="H2659"/>
  <c r="F500" i="1" s="1"/>
  <c r="A2661" i="2"/>
  <c r="B2661"/>
  <c r="C2661"/>
  <c r="G2661"/>
  <c r="H2661"/>
  <c r="F501" i="1" s="1"/>
  <c r="I501" s="1"/>
  <c r="A2663" i="2"/>
  <c r="B2663"/>
  <c r="C2663"/>
  <c r="G2663"/>
  <c r="H2663"/>
  <c r="F502" i="1" s="1"/>
  <c r="A2665" i="2"/>
  <c r="B2665"/>
  <c r="C2665"/>
  <c r="G2665"/>
  <c r="H2665"/>
  <c r="F503" i="1" s="1"/>
  <c r="I503" s="1"/>
  <c r="A2667" i="2"/>
  <c r="B2667"/>
  <c r="C2667"/>
  <c r="G2667"/>
  <c r="H2667"/>
  <c r="F504" i="1" s="1"/>
  <c r="A2669" i="2"/>
  <c r="B2669"/>
  <c r="C2669"/>
  <c r="G2669"/>
  <c r="H2669"/>
  <c r="F505" i="1" s="1"/>
  <c r="A2671" i="2"/>
  <c r="B2671"/>
  <c r="C2671"/>
  <c r="G2671"/>
  <c r="H2671"/>
  <c r="F506" i="1" s="1"/>
  <c r="I506" s="1"/>
  <c r="A2673" i="2"/>
  <c r="B2673"/>
  <c r="C2673"/>
  <c r="G2673"/>
  <c r="H2673"/>
  <c r="F507" i="1" s="1"/>
  <c r="A2675" i="2"/>
  <c r="B2675"/>
  <c r="C2675"/>
  <c r="G2675"/>
  <c r="F508" i="1"/>
  <c r="I508" s="1"/>
  <c r="A2681" i="2"/>
  <c r="B2681"/>
  <c r="C2681"/>
  <c r="G2681"/>
  <c r="H2681"/>
  <c r="F509" i="1" s="1"/>
  <c r="I509" s="1"/>
  <c r="B2688" i="2"/>
  <c r="C2688"/>
  <c r="G2688"/>
  <c r="H2688"/>
  <c r="F510" i="1" s="1"/>
  <c r="F512"/>
  <c r="A2697" i="2"/>
  <c r="B2697"/>
  <c r="C2697"/>
  <c r="G2697"/>
  <c r="H2697"/>
  <c r="F513" i="1" s="1"/>
  <c r="A2699" i="2"/>
  <c r="B2699"/>
  <c r="C2699"/>
  <c r="G2699"/>
  <c r="F514" i="1"/>
  <c r="A2702" i="2"/>
  <c r="B2702"/>
  <c r="C2702"/>
  <c r="G2702"/>
  <c r="H2702"/>
  <c r="F515" i="1" s="1"/>
  <c r="A2704" i="2"/>
  <c r="B2704"/>
  <c r="C2704"/>
  <c r="G2704"/>
  <c r="H2704"/>
  <c r="F516" i="1" s="1"/>
  <c r="B2714" i="2"/>
  <c r="C2714"/>
  <c r="A2715"/>
  <c r="B2715"/>
  <c r="C2715"/>
  <c r="G2715"/>
  <c r="H2715"/>
  <c r="F521" i="1" s="1"/>
  <c r="B2717" i="2"/>
  <c r="G2717"/>
  <c r="H2717"/>
  <c r="F522" i="1" s="1"/>
  <c r="B2719" i="2"/>
  <c r="C2719"/>
  <c r="G2719"/>
  <c r="F523" i="1"/>
  <c r="B2722" i="2"/>
  <c r="C2722"/>
  <c r="G2722"/>
  <c r="H2722"/>
  <c r="F524" i="1" s="1"/>
  <c r="A2724" i="2"/>
  <c r="B2724"/>
  <c r="C2724"/>
  <c r="G2724"/>
  <c r="H2724"/>
  <c r="F525" i="1" s="1"/>
  <c r="A2726" i="2"/>
  <c r="B2726"/>
  <c r="C2726"/>
  <c r="G2726"/>
  <c r="H2726"/>
  <c r="F526" i="1" s="1"/>
  <c r="I526" s="1"/>
  <c r="A2728" i="2"/>
  <c r="B2728"/>
  <c r="C2728"/>
  <c r="G2728"/>
  <c r="H2728"/>
  <c r="F527" i="1" s="1"/>
  <c r="B2731" i="2"/>
  <c r="C2731"/>
  <c r="A2732"/>
  <c r="B2732"/>
  <c r="C2732"/>
  <c r="G2732"/>
  <c r="H2732"/>
  <c r="F529" i="1" s="1"/>
  <c r="I529" s="1"/>
  <c r="A2734" i="2"/>
  <c r="B2734"/>
  <c r="C2734"/>
  <c r="G2734"/>
  <c r="H2734"/>
  <c r="F530" i="1" s="1"/>
  <c r="A2736" i="2"/>
  <c r="B2736"/>
  <c r="C2736"/>
  <c r="G2736"/>
  <c r="H2736"/>
  <c r="F531" i="1" s="1"/>
  <c r="A2738" i="2"/>
  <c r="B2738"/>
  <c r="C2738"/>
  <c r="G2738"/>
  <c r="H2738"/>
  <c r="F532" i="1" s="1"/>
  <c r="A2740" i="2"/>
  <c r="B2740"/>
  <c r="C2740"/>
  <c r="G2740"/>
  <c r="H2740"/>
  <c r="F533" i="1" s="1"/>
  <c r="A2742" i="2"/>
  <c r="B2742"/>
  <c r="C2742"/>
  <c r="G2742"/>
  <c r="H2742"/>
  <c r="F534" i="1" s="1"/>
  <c r="A2744" i="2"/>
  <c r="B2744"/>
  <c r="C2744"/>
  <c r="G2744"/>
  <c r="H2744"/>
  <c r="F535" i="1" s="1"/>
  <c r="I535" s="1"/>
  <c r="A2746" i="2"/>
  <c r="B2746"/>
  <c r="C2746"/>
  <c r="G2746"/>
  <c r="H2746"/>
  <c r="F536" i="1" s="1"/>
  <c r="A2748" i="2"/>
  <c r="B2748"/>
  <c r="C2748"/>
  <c r="G2748"/>
  <c r="H2748"/>
  <c r="F537" i="1" s="1"/>
  <c r="A2750" i="2"/>
  <c r="B2750"/>
  <c r="C2750"/>
  <c r="G2750"/>
  <c r="H2750"/>
  <c r="F538" i="1" s="1"/>
  <c r="A2752" i="2"/>
  <c r="B2752"/>
  <c r="C2752"/>
  <c r="G2752"/>
  <c r="H2752"/>
  <c r="F539" i="1" s="1"/>
  <c r="A2754" i="2"/>
  <c r="B2754"/>
  <c r="C2754"/>
  <c r="G2754"/>
  <c r="H2754"/>
  <c r="F540" i="1" s="1"/>
  <c r="I540" s="1"/>
  <c r="A2756" i="2"/>
  <c r="B2756"/>
  <c r="C2756"/>
  <c r="G2756"/>
  <c r="H2756"/>
  <c r="F541" i="1" s="1"/>
  <c r="I541" s="1"/>
  <c r="A2758" i="2"/>
  <c r="B2758"/>
  <c r="C2758"/>
  <c r="G2758"/>
  <c r="H2758"/>
  <c r="F542" i="1" s="1"/>
  <c r="A2760" i="2"/>
  <c r="B2760"/>
  <c r="C2760"/>
  <c r="G2760"/>
  <c r="H2760"/>
  <c r="F543" i="1" s="1"/>
  <c r="B2764" i="2"/>
  <c r="C2764"/>
  <c r="G2764"/>
  <c r="H2764"/>
  <c r="F545" i="1" s="1"/>
  <c r="A2766" i="2"/>
  <c r="B2766"/>
  <c r="C2766"/>
  <c r="G2766"/>
  <c r="H2766"/>
  <c r="F546" i="1" s="1"/>
  <c r="B2768" i="2"/>
  <c r="C2768"/>
  <c r="G2768"/>
  <c r="F547" i="1"/>
  <c r="I547" s="1"/>
  <c r="F548"/>
  <c r="I548" s="1"/>
  <c r="A2773" i="2"/>
  <c r="B2773"/>
  <c r="C2773"/>
  <c r="G2773"/>
  <c r="H2773"/>
  <c r="F549" i="1" s="1"/>
  <c r="A2775" i="2"/>
  <c r="B2775"/>
  <c r="C2775"/>
  <c r="G2775"/>
  <c r="H2775"/>
  <c r="F550" i="1" s="1"/>
  <c r="A2777" i="2"/>
  <c r="B2777"/>
  <c r="C2777"/>
  <c r="G2777"/>
  <c r="H2778"/>
  <c r="H2777" s="1"/>
  <c r="F551" i="1" s="1"/>
  <c r="A2779" i="2"/>
  <c r="B2779"/>
  <c r="C2779"/>
  <c r="G2779"/>
  <c r="H2779"/>
  <c r="F552" i="1" s="1"/>
  <c r="A2781" i="2"/>
  <c r="B2781"/>
  <c r="C2781"/>
  <c r="G2781"/>
  <c r="H2781"/>
  <c r="F553" i="1" s="1"/>
  <c r="I553" s="1"/>
  <c r="A2783" i="2"/>
  <c r="B2783"/>
  <c r="C2783"/>
  <c r="G2783"/>
  <c r="H2783"/>
  <c r="F554" i="1" s="1"/>
  <c r="I554" s="1"/>
  <c r="A2785" i="2"/>
  <c r="B2785"/>
  <c r="C2785"/>
  <c r="G2785"/>
  <c r="H2785"/>
  <c r="F555" i="1" s="1"/>
  <c r="A2787" i="2"/>
  <c r="B2787"/>
  <c r="C2787"/>
  <c r="G2787"/>
  <c r="H2787"/>
  <c r="F556" i="1" s="1"/>
  <c r="A2789" i="2"/>
  <c r="B2789"/>
  <c r="C2789"/>
  <c r="G2789"/>
  <c r="H2789"/>
  <c r="F557" i="1" s="1"/>
  <c r="A2791" i="2"/>
  <c r="B2791"/>
  <c r="C2791"/>
  <c r="G2791"/>
  <c r="H2791"/>
  <c r="F558" i="1" s="1"/>
  <c r="A2793" i="2"/>
  <c r="B2793"/>
  <c r="C2793"/>
  <c r="G2793"/>
  <c r="H2793"/>
  <c r="F559" i="1" s="1"/>
  <c r="A2795" i="2"/>
  <c r="B2795"/>
  <c r="C2795"/>
  <c r="G2795"/>
  <c r="H2795"/>
  <c r="F560" i="1" s="1"/>
  <c r="I560" s="1"/>
  <c r="A2797" i="2"/>
  <c r="B2797"/>
  <c r="C2797"/>
  <c r="G2797"/>
  <c r="H2797"/>
  <c r="F561" i="1" s="1"/>
  <c r="A2799" i="2"/>
  <c r="B2799"/>
  <c r="C2799"/>
  <c r="G2799"/>
  <c r="H2799"/>
  <c r="F562" i="1" s="1"/>
  <c r="I562" s="1"/>
  <c r="A2801" i="2"/>
  <c r="B2801"/>
  <c r="C2801"/>
  <c r="G2801"/>
  <c r="H2801"/>
  <c r="F563" i="1" s="1"/>
  <c r="I563" s="1"/>
  <c r="A2803" i="2"/>
  <c r="B2803"/>
  <c r="C2803"/>
  <c r="G2803"/>
  <c r="H2803"/>
  <c r="F564" i="1" s="1"/>
  <c r="A2805" i="2"/>
  <c r="B2805"/>
  <c r="C2805"/>
  <c r="G2805"/>
  <c r="H2805"/>
  <c r="F565" i="1" s="1"/>
  <c r="I565" s="1"/>
  <c r="A2807" i="2"/>
  <c r="B2807"/>
  <c r="C2807"/>
  <c r="G2807"/>
  <c r="H2807"/>
  <c r="F566" i="1" s="1"/>
  <c r="A2809" i="2"/>
  <c r="B2809"/>
  <c r="C2809"/>
  <c r="G2809"/>
  <c r="H2809"/>
  <c r="F567" i="1" s="1"/>
  <c r="A2811" i="2"/>
  <c r="B2811"/>
  <c r="C2811"/>
  <c r="G2811"/>
  <c r="H2811"/>
  <c r="F568" i="1" s="1"/>
  <c r="A2813" i="2"/>
  <c r="B2813"/>
  <c r="C2813"/>
  <c r="G2813"/>
  <c r="H2813"/>
  <c r="F569" i="1" s="1"/>
  <c r="A2815" i="2"/>
  <c r="B2815"/>
  <c r="C2815"/>
  <c r="G2815"/>
  <c r="H2815"/>
  <c r="F570" i="1" s="1"/>
  <c r="A2817" i="2"/>
  <c r="B2817"/>
  <c r="C2817"/>
  <c r="G2817"/>
  <c r="H2817"/>
  <c r="F571" i="1" s="1"/>
  <c r="I571" s="1"/>
  <c r="A2819" i="2"/>
  <c r="B2819"/>
  <c r="C2819"/>
  <c r="G2819"/>
  <c r="H2819"/>
  <c r="F572" i="1" s="1"/>
  <c r="I572" s="1"/>
  <c r="A2821" i="2"/>
  <c r="B2821"/>
  <c r="C2821"/>
  <c r="H2821"/>
  <c r="F573" i="1" s="1"/>
  <c r="A2823" i="2"/>
  <c r="B2823"/>
  <c r="C2823"/>
  <c r="G2823"/>
  <c r="H2823"/>
  <c r="F574" i="1" s="1"/>
  <c r="A2825" i="2"/>
  <c r="B2825"/>
  <c r="C2825"/>
  <c r="G2825"/>
  <c r="H2825"/>
  <c r="B2827"/>
  <c r="C2827"/>
  <c r="G2827"/>
  <c r="H2827"/>
  <c r="F576" i="1" s="1"/>
  <c r="B2831" i="2"/>
  <c r="C2831"/>
  <c r="A2832"/>
  <c r="B2832"/>
  <c r="C2832"/>
  <c r="G2832"/>
  <c r="H2832"/>
  <c r="F578" i="1" s="1"/>
  <c r="A2834" i="2"/>
  <c r="B2834"/>
  <c r="C2834"/>
  <c r="G2834"/>
  <c r="H2834"/>
  <c r="A2836"/>
  <c r="B2836"/>
  <c r="C2836"/>
  <c r="G2836"/>
  <c r="H2836"/>
  <c r="F580" i="1" s="1"/>
  <c r="A2838" i="2"/>
  <c r="B2838"/>
  <c r="C2838"/>
  <c r="G2838"/>
  <c r="H2838"/>
  <c r="F581" i="1" s="1"/>
  <c r="A2840" i="2"/>
  <c r="B2840"/>
  <c r="C2840"/>
  <c r="G2840"/>
  <c r="H2840"/>
  <c r="F582" i="1" s="1"/>
  <c r="A2842" i="2"/>
  <c r="B2842"/>
  <c r="C2842"/>
  <c r="G2842"/>
  <c r="H2843"/>
  <c r="H2842" s="1"/>
  <c r="F583" i="1" s="1"/>
  <c r="A2844" i="2"/>
  <c r="B2844"/>
  <c r="C2844"/>
  <c r="G2844"/>
  <c r="H2844"/>
  <c r="F584" i="1" s="1"/>
  <c r="I584" s="1"/>
  <c r="A2846" i="2"/>
  <c r="B2846"/>
  <c r="C2846"/>
  <c r="G2846"/>
  <c r="H2846"/>
  <c r="F585" i="1" s="1"/>
  <c r="A2848" i="2"/>
  <c r="B2848"/>
  <c r="C2848"/>
  <c r="G2848"/>
  <c r="H2848"/>
  <c r="F586" i="1" s="1"/>
  <c r="I586" s="1"/>
  <c r="A2850" i="2"/>
  <c r="B2850"/>
  <c r="C2850"/>
  <c r="G2850"/>
  <c r="H2850"/>
  <c r="F587" i="1" s="1"/>
  <c r="A2852" i="2"/>
  <c r="B2852"/>
  <c r="C2852"/>
  <c r="G2852"/>
  <c r="H2852"/>
  <c r="F588" i="1" s="1"/>
  <c r="A2854" i="2"/>
  <c r="B2854"/>
  <c r="C2854"/>
  <c r="G2854"/>
  <c r="H2854"/>
  <c r="F589" i="1" s="1"/>
  <c r="A2856" i="2"/>
  <c r="B2856"/>
  <c r="C2856"/>
  <c r="G2856"/>
  <c r="H2856"/>
  <c r="F590" i="1" s="1"/>
  <c r="I590" s="1"/>
  <c r="A2858" i="2"/>
  <c r="B2858"/>
  <c r="C2858"/>
  <c r="G2858"/>
  <c r="H2859"/>
  <c r="H2858" s="1"/>
  <c r="F591" i="1" s="1"/>
  <c r="I591" s="1"/>
  <c r="A2860" i="2"/>
  <c r="B2860"/>
  <c r="C2860"/>
  <c r="G2860"/>
  <c r="H2861"/>
  <c r="H2860" s="1"/>
  <c r="F592" i="1" s="1"/>
  <c r="A2862" i="2"/>
  <c r="B2862"/>
  <c r="C2862"/>
  <c r="G2862"/>
  <c r="H2863"/>
  <c r="H2862" s="1"/>
  <c r="F593" i="1" s="1"/>
  <c r="A2864" i="2"/>
  <c r="B2864"/>
  <c r="C2864"/>
  <c r="G2864"/>
  <c r="H2865"/>
  <c r="H2864" s="1"/>
  <c r="A2866"/>
  <c r="B2866"/>
  <c r="C2866"/>
  <c r="G2866"/>
  <c r="H2866"/>
  <c r="F595" i="1" s="1"/>
  <c r="A2868" i="2"/>
  <c r="B2868"/>
  <c r="C2868"/>
  <c r="G2868"/>
  <c r="H2868"/>
  <c r="F596" i="1" s="1"/>
  <c r="A2870" i="2"/>
  <c r="B2870"/>
  <c r="C2870"/>
  <c r="G2870"/>
  <c r="H2870"/>
  <c r="F597" i="1" s="1"/>
  <c r="A2872" i="2"/>
  <c r="B2872"/>
  <c r="C2872"/>
  <c r="G2872"/>
  <c r="H2873"/>
  <c r="H2872" s="1"/>
  <c r="F598" i="1" s="1"/>
  <c r="I598" s="1"/>
  <c r="A2874" i="2"/>
  <c r="B2874"/>
  <c r="C2874"/>
  <c r="G2874"/>
  <c r="H2874"/>
  <c r="F599" i="1" s="1"/>
  <c r="A2876" i="2"/>
  <c r="B2876"/>
  <c r="C2876"/>
  <c r="G2876"/>
  <c r="H2876"/>
  <c r="F600" i="1" s="1"/>
  <c r="I600" s="1"/>
  <c r="A2878" i="2"/>
  <c r="B2878"/>
  <c r="C2878"/>
  <c r="G2878"/>
  <c r="H2878"/>
  <c r="F601" i="1" s="1"/>
  <c r="A2880" i="2"/>
  <c r="B2880"/>
  <c r="C2880"/>
  <c r="G2880"/>
  <c r="H2881"/>
  <c r="H2880" s="1"/>
  <c r="F602" i="1" s="1"/>
  <c r="I602" s="1"/>
  <c r="B2882" i="2"/>
  <c r="C2882"/>
  <c r="G2882"/>
  <c r="H2883"/>
  <c r="H2882" s="1"/>
  <c r="F603" i="1" s="1"/>
  <c r="A2884" i="2"/>
  <c r="B2884"/>
  <c r="C2884"/>
  <c r="G2884"/>
  <c r="J2884"/>
  <c r="F604" i="1" s="1"/>
  <c r="A2886" i="2"/>
  <c r="B2886"/>
  <c r="C2886"/>
  <c r="G2886"/>
  <c r="J2887"/>
  <c r="J2886" s="1"/>
  <c r="F605" i="1" s="1"/>
  <c r="I605" s="1"/>
  <c r="A2888" i="2"/>
  <c r="B2888"/>
  <c r="C2888"/>
  <c r="G2888"/>
  <c r="H2888"/>
  <c r="F606" i="1" s="1"/>
  <c r="A2890" i="2"/>
  <c r="B2890"/>
  <c r="C2890"/>
  <c r="G2890"/>
  <c r="H2890"/>
  <c r="F607" i="1" s="1"/>
  <c r="B2893" i="2"/>
  <c r="C2893"/>
  <c r="A2894"/>
  <c r="B2894"/>
  <c r="C2894"/>
  <c r="G2894"/>
  <c r="A2896"/>
  <c r="B2896"/>
  <c r="C2896"/>
  <c r="G2896"/>
  <c r="J2896"/>
  <c r="F610" i="1" s="1"/>
  <c r="A2898" i="2"/>
  <c r="B2898"/>
  <c r="C2898"/>
  <c r="G2898"/>
  <c r="A2900"/>
  <c r="B2900"/>
  <c r="C2900"/>
  <c r="G2900"/>
  <c r="J2900"/>
  <c r="F612" i="1" s="1"/>
  <c r="A2902" i="2"/>
  <c r="B2902"/>
  <c r="C2902"/>
  <c r="G2902"/>
  <c r="A2904"/>
  <c r="B2904"/>
  <c r="C2904"/>
  <c r="A2930"/>
  <c r="B2930"/>
  <c r="C2930"/>
  <c r="H2930"/>
  <c r="F616" i="1" s="1"/>
  <c r="A2933" i="2"/>
  <c r="B2933"/>
  <c r="C2933"/>
  <c r="F617" i="1"/>
  <c r="A2946" i="2"/>
  <c r="B2946"/>
  <c r="C2946"/>
  <c r="F618" i="1"/>
  <c r="B2953" i="2"/>
  <c r="C2953"/>
  <c r="A2954"/>
  <c r="B2954"/>
  <c r="C2954"/>
  <c r="G2954"/>
  <c r="H2954"/>
  <c r="F621" i="1" s="1"/>
  <c r="I621" s="1"/>
  <c r="A2956" i="2"/>
  <c r="B2956"/>
  <c r="G2956"/>
  <c r="H2956"/>
  <c r="F622" i="1" s="1"/>
  <c r="A2958" i="2"/>
  <c r="B2958"/>
  <c r="C2958"/>
  <c r="G2958"/>
  <c r="H2958"/>
  <c r="F623" i="1" s="1"/>
  <c r="A2960" i="2"/>
  <c r="B2960"/>
  <c r="C2960"/>
  <c r="G2960"/>
  <c r="J2960"/>
  <c r="F624" i="1" s="1"/>
  <c r="I624" s="1"/>
  <c r="A2962" i="2"/>
  <c r="B2962"/>
  <c r="C2962"/>
  <c r="G2962"/>
  <c r="H2962"/>
  <c r="F625" i="1" s="1"/>
  <c r="I625" s="1"/>
  <c r="A2964" i="2"/>
  <c r="B2964"/>
  <c r="C2964"/>
  <c r="G2964"/>
  <c r="H2964"/>
  <c r="F626" i="1" s="1"/>
  <c r="A2966" i="2"/>
  <c r="B2966"/>
  <c r="C2966"/>
  <c r="G2966"/>
  <c r="H2966"/>
  <c r="F627" i="1" s="1"/>
  <c r="B2973" i="2"/>
  <c r="C2973"/>
  <c r="A2974"/>
  <c r="B2974"/>
  <c r="C2974"/>
  <c r="J2974"/>
  <c r="F631" i="1" s="1"/>
  <c r="A2977" i="2"/>
  <c r="B2977"/>
  <c r="C2977"/>
  <c r="H2977"/>
  <c r="F632" i="1" s="1"/>
  <c r="I632" s="1"/>
  <c r="B2980" i="2"/>
  <c r="C2980"/>
  <c r="H2980"/>
  <c r="F633" i="1" s="1"/>
  <c r="B2984" i="2"/>
  <c r="C2984"/>
  <c r="B2985"/>
  <c r="C2985"/>
  <c r="A2986"/>
  <c r="B2986"/>
  <c r="C2986"/>
  <c r="G2986"/>
  <c r="B2998"/>
  <c r="C2998"/>
  <c r="A2999"/>
  <c r="B2999"/>
  <c r="C2999"/>
  <c r="G2999"/>
  <c r="J2999"/>
  <c r="F639" i="1" s="1"/>
  <c r="A3001" i="2"/>
  <c r="B3001"/>
  <c r="C3001"/>
  <c r="G3001"/>
  <c r="H3001"/>
  <c r="F640" i="1" s="1"/>
  <c r="A3003" i="2"/>
  <c r="B3003"/>
  <c r="C3003"/>
  <c r="G3003"/>
  <c r="H3003"/>
  <c r="F641" i="1" s="1"/>
  <c r="I641" s="1"/>
  <c r="A3005" i="2"/>
  <c r="B3005"/>
  <c r="C3005"/>
  <c r="F642" i="1"/>
  <c r="A3008" i="2"/>
  <c r="B3008"/>
  <c r="C3008"/>
  <c r="G3008"/>
  <c r="N3009"/>
  <c r="B3013"/>
  <c r="C3013"/>
  <c r="A3014"/>
  <c r="B3014"/>
  <c r="C3014"/>
  <c r="G3014"/>
  <c r="H3014"/>
  <c r="F646" i="1" s="1"/>
  <c r="I646" s="1"/>
  <c r="A3017" i="2"/>
  <c r="B3017"/>
  <c r="C3017"/>
  <c r="G3017"/>
  <c r="H3017"/>
  <c r="F647" i="1" s="1"/>
  <c r="A3020" i="2"/>
  <c r="B3020"/>
  <c r="C3020"/>
  <c r="H3020"/>
  <c r="F648" i="1" s="1"/>
  <c r="I648" s="1"/>
  <c r="A3023" i="2"/>
  <c r="B3023"/>
  <c r="C3023"/>
  <c r="F649" i="1"/>
  <c r="I649" s="1"/>
  <c r="J3033" i="2"/>
  <c r="F652" i="1" s="1"/>
  <c r="B3036" i="2"/>
  <c r="C3036"/>
  <c r="A3037"/>
  <c r="B3037"/>
  <c r="C3037"/>
  <c r="G3037"/>
  <c r="A3051"/>
  <c r="B3051"/>
  <c r="G3051"/>
  <c r="H3051"/>
  <c r="F656" i="1" s="1"/>
  <c r="I656" s="1"/>
  <c r="A3058" i="2"/>
  <c r="B3058"/>
  <c r="C3058"/>
  <c r="G3058"/>
  <c r="H3058"/>
  <c r="F657" i="1" s="1"/>
  <c r="A3065" i="2"/>
  <c r="B3065"/>
  <c r="C3065"/>
  <c r="G3065"/>
  <c r="H3065"/>
  <c r="F658" i="1" s="1"/>
  <c r="I658" s="1"/>
  <c r="B3073" i="2"/>
  <c r="C3073"/>
  <c r="B3074"/>
  <c r="C3074"/>
  <c r="A3075"/>
  <c r="B3075"/>
  <c r="C3075"/>
  <c r="G3075"/>
  <c r="N3075"/>
  <c r="F661" i="1" s="1"/>
  <c r="A3077" i="2"/>
  <c r="B3077"/>
  <c r="C3077"/>
  <c r="G3077"/>
  <c r="O3078"/>
  <c r="O3077" s="1"/>
  <c r="F662" i="1" s="1"/>
  <c r="I662" s="1"/>
  <c r="I663"/>
  <c r="A3081" i="2"/>
  <c r="B3081"/>
  <c r="G3081"/>
  <c r="F664" i="1"/>
  <c r="I664" s="1"/>
  <c r="A3084" i="2"/>
  <c r="B3084"/>
  <c r="C3084"/>
  <c r="G3084"/>
  <c r="H3084"/>
  <c r="F665" i="1" s="1"/>
  <c r="A3086" i="2"/>
  <c r="B3086"/>
  <c r="C3086"/>
  <c r="A3089"/>
  <c r="B3089"/>
  <c r="C3089"/>
  <c r="H3089"/>
  <c r="F667" i="1" s="1"/>
  <c r="A3093" i="2"/>
  <c r="B3093"/>
  <c r="C3093"/>
  <c r="O3093"/>
  <c r="F669" i="1" s="1"/>
  <c r="I669" s="1"/>
  <c r="B3098" i="2"/>
  <c r="C3098"/>
  <c r="B3099"/>
  <c r="C3099"/>
  <c r="H3099"/>
  <c r="B3101"/>
  <c r="C3101"/>
  <c r="H3101"/>
  <c r="B3103"/>
  <c r="C3103"/>
  <c r="H3103"/>
  <c r="B3105"/>
  <c r="C3105"/>
  <c r="H3105"/>
  <c r="B3107"/>
  <c r="C3107"/>
  <c r="N3108"/>
  <c r="N3109"/>
  <c r="N3110"/>
  <c r="N3111"/>
  <c r="B3112"/>
  <c r="C3112"/>
  <c r="H3112"/>
  <c r="B3115"/>
  <c r="C3115"/>
  <c r="H3115"/>
  <c r="B3117"/>
  <c r="C3117"/>
  <c r="H3117"/>
  <c r="B3123"/>
  <c r="C3123"/>
  <c r="H3123"/>
  <c r="F680" i="1" s="1"/>
  <c r="B3129" i="2"/>
  <c r="C3129"/>
  <c r="A3130"/>
  <c r="B3130"/>
  <c r="C3130"/>
  <c r="G3130"/>
  <c r="N3130"/>
  <c r="F682" i="1" s="1"/>
  <c r="B3136" i="2"/>
  <c r="C3136"/>
  <c r="B3137"/>
  <c r="C3137"/>
  <c r="G3137"/>
  <c r="H3137"/>
  <c r="B3139"/>
  <c r="C3139"/>
  <c r="A3140"/>
  <c r="B3140"/>
  <c r="C3140"/>
  <c r="G3140"/>
  <c r="H3140"/>
  <c r="A3143"/>
  <c r="B3143"/>
  <c r="C3143"/>
  <c r="G3143"/>
  <c r="H3143"/>
  <c r="A3148"/>
  <c r="B3148"/>
  <c r="C3148"/>
  <c r="H3148"/>
  <c r="A3157"/>
  <c r="B3157"/>
  <c r="C3157"/>
  <c r="G3157"/>
  <c r="H3157"/>
  <c r="A3160"/>
  <c r="B3160"/>
  <c r="C3160"/>
  <c r="H3160"/>
  <c r="G3161"/>
  <c r="B3162"/>
  <c r="B3163"/>
  <c r="C3163"/>
  <c r="G3163"/>
  <c r="H3163"/>
  <c r="B3165"/>
  <c r="C3165"/>
  <c r="B3166"/>
  <c r="C3166"/>
  <c r="A3167"/>
  <c r="B3167"/>
  <c r="C3167"/>
  <c r="G3167"/>
  <c r="H3167"/>
  <c r="B3169"/>
  <c r="C3169"/>
  <c r="G3169"/>
  <c r="H3169"/>
  <c r="B3171"/>
  <c r="C3171"/>
  <c r="G3171"/>
  <c r="H3171"/>
  <c r="A3173"/>
  <c r="B3173"/>
  <c r="C3173"/>
  <c r="G3173"/>
  <c r="H3173"/>
  <c r="A3175"/>
  <c r="B3175"/>
  <c r="C3175"/>
  <c r="G3175"/>
  <c r="H3175"/>
  <c r="A3177"/>
  <c r="B3177"/>
  <c r="C3177"/>
  <c r="G3177"/>
  <c r="H3177"/>
  <c r="A3179"/>
  <c r="B3179"/>
  <c r="C3179"/>
  <c r="H3179"/>
  <c r="A3181"/>
  <c r="B3181"/>
  <c r="C3181"/>
  <c r="G3181"/>
  <c r="H3181"/>
  <c r="A3183"/>
  <c r="B3183"/>
  <c r="C3183"/>
  <c r="G3183"/>
  <c r="H3183"/>
  <c r="B3185"/>
  <c r="C3185"/>
  <c r="G3185"/>
  <c r="H3185"/>
  <c r="A3187"/>
  <c r="B3187"/>
  <c r="C3187"/>
  <c r="G3187"/>
  <c r="H3187"/>
  <c r="B3189"/>
  <c r="C3189"/>
  <c r="G3189"/>
  <c r="H3189"/>
  <c r="B3191"/>
  <c r="C3191"/>
  <c r="G3191"/>
  <c r="H3191"/>
  <c r="B3193"/>
  <c r="C3193"/>
  <c r="G3193"/>
  <c r="H3193"/>
  <c r="B3195"/>
  <c r="C3195"/>
  <c r="G3195"/>
  <c r="H3195"/>
  <c r="B3197"/>
  <c r="C3197"/>
  <c r="G3197"/>
  <c r="H3197"/>
  <c r="B3199"/>
  <c r="C3199"/>
  <c r="G3199"/>
  <c r="H3199"/>
  <c r="B3201"/>
  <c r="C3201"/>
  <c r="G3201"/>
  <c r="H3201"/>
  <c r="B3203"/>
  <c r="C3203"/>
  <c r="G3203"/>
  <c r="H3203"/>
  <c r="B3205"/>
  <c r="C3205"/>
  <c r="G3205"/>
  <c r="H3205"/>
  <c r="B3207"/>
  <c r="C3207"/>
  <c r="B3210"/>
  <c r="C3210"/>
  <c r="B3211"/>
  <c r="C3211"/>
  <c r="G3211"/>
  <c r="H3211"/>
  <c r="H12" i="1"/>
  <c r="H14"/>
  <c r="H16"/>
  <c r="H17"/>
  <c r="A20" i="2"/>
  <c r="H18" i="1"/>
  <c r="H21"/>
  <c r="F23"/>
  <c r="I23" s="1"/>
  <c r="H23"/>
  <c r="H24"/>
  <c r="H25"/>
  <c r="H26"/>
  <c r="H30"/>
  <c r="H31"/>
  <c r="H32"/>
  <c r="A55" i="2"/>
  <c r="H34" i="1"/>
  <c r="A59" i="2"/>
  <c r="A61"/>
  <c r="H59" i="1"/>
  <c r="H68"/>
  <c r="H70"/>
  <c r="H71"/>
  <c r="H72"/>
  <c r="H73"/>
  <c r="H75"/>
  <c r="H76"/>
  <c r="H79"/>
  <c r="H83"/>
  <c r="H85"/>
  <c r="H88"/>
  <c r="H89"/>
  <c r="H91"/>
  <c r="H92"/>
  <c r="H93"/>
  <c r="H94"/>
  <c r="H96"/>
  <c r="H107"/>
  <c r="H108"/>
  <c r="H112"/>
  <c r="H113"/>
  <c r="H114"/>
  <c r="H115"/>
  <c r="D116"/>
  <c r="C1047" i="2" s="1"/>
  <c r="H116" i="1"/>
  <c r="H117"/>
  <c r="H120"/>
  <c r="C1150" i="2"/>
  <c r="A1214"/>
  <c r="A1224"/>
  <c r="A1314"/>
  <c r="C1976"/>
  <c r="D251" i="1"/>
  <c r="C2086" i="2" s="1"/>
  <c r="A308" i="1"/>
  <c r="D314"/>
  <c r="C2237" i="2" s="1"/>
  <c r="A2309"/>
  <c r="A2313"/>
  <c r="A349" i="1"/>
  <c r="A2315" i="2" s="1"/>
  <c r="A361" i="1"/>
  <c r="A2339" i="2" s="1"/>
  <c r="F377" i="1"/>
  <c r="A392"/>
  <c r="A2402" i="2" s="1"/>
  <c r="D411" i="1"/>
  <c r="C2453" i="2" s="1"/>
  <c r="A2537"/>
  <c r="A2599"/>
  <c r="A2601"/>
  <c r="A2611"/>
  <c r="F482" i="1"/>
  <c r="I482" s="1"/>
  <c r="I486"/>
  <c r="A2688" i="2"/>
  <c r="A2717"/>
  <c r="A2719"/>
  <c r="A2722"/>
  <c r="A2764"/>
  <c r="A2827"/>
  <c r="F579" i="1"/>
  <c r="I579" s="1"/>
  <c r="J594"/>
  <c r="I594"/>
  <c r="A2882" i="2"/>
  <c r="D622" i="1"/>
  <c r="C2956" i="2" s="1"/>
  <c r="A633" i="1"/>
  <c r="A2980" i="2" s="1"/>
  <c r="D656" i="1"/>
  <c r="C3051" i="2" s="1"/>
  <c r="A672" i="1"/>
  <c r="A673"/>
  <c r="A674"/>
  <c r="A675"/>
  <c r="A676"/>
  <c r="A677"/>
  <c r="A678"/>
  <c r="A679"/>
  <c r="A680"/>
  <c r="A694"/>
  <c r="A3137" i="2" s="1"/>
  <c r="A3163"/>
  <c r="A706" i="1"/>
  <c r="A3169" i="2" s="1"/>
  <c r="A3171"/>
  <c r="F708" i="1"/>
  <c r="I708" s="1"/>
  <c r="A714"/>
  <c r="A3185" i="2" s="1"/>
  <c r="A3189"/>
  <c r="A3191"/>
  <c r="A3193"/>
  <c r="A3195"/>
  <c r="A3197"/>
  <c r="A721" i="1"/>
  <c r="A3199" i="2" s="1"/>
  <c r="A3201"/>
  <c r="A723" i="1"/>
  <c r="A3203" i="2" s="1"/>
  <c r="A724" i="1"/>
  <c r="A3205" i="2" s="1"/>
  <c r="A3211"/>
  <c r="H10" i="3"/>
  <c r="P52"/>
  <c r="H35" i="1"/>
  <c r="F116" i="6" l="1"/>
  <c r="F702" i="1"/>
  <c r="E8" i="12"/>
  <c r="F712" i="1"/>
  <c r="E26" i="12"/>
  <c r="F707" i="1"/>
  <c r="E30" i="12"/>
  <c r="F706" i="1"/>
  <c r="E5" i="12"/>
  <c r="F705" i="1"/>
  <c r="I705" s="1"/>
  <c r="E12" i="12"/>
  <c r="F698" i="1"/>
  <c r="I698" s="1"/>
  <c r="E3" i="12"/>
  <c r="F697" i="1"/>
  <c r="E11" i="12"/>
  <c r="F694" i="1"/>
  <c r="E7" i="12"/>
  <c r="P13" i="4"/>
  <c r="B266" i="6"/>
  <c r="F266" s="1"/>
  <c r="F710" i="1"/>
  <c r="I710" s="1"/>
  <c r="E23" i="12"/>
  <c r="F696" i="1"/>
  <c r="I696" s="1"/>
  <c r="E15" i="12"/>
  <c r="F714" i="1"/>
  <c r="E17" i="12"/>
  <c r="F713" i="1"/>
  <c r="I713" s="1"/>
  <c r="E21" i="12"/>
  <c r="F700" i="1"/>
  <c r="I700" s="1"/>
  <c r="E6" i="12"/>
  <c r="F699" i="1"/>
  <c r="I699" s="1"/>
  <c r="E13" i="12"/>
  <c r="P58" i="3"/>
  <c r="C57" i="6"/>
  <c r="F57" s="1"/>
  <c r="J346" i="1" s="1"/>
  <c r="C16" i="6"/>
  <c r="F711" i="1"/>
  <c r="I711" s="1"/>
  <c r="E24" i="12"/>
  <c r="F9"/>
  <c r="F728" i="1"/>
  <c r="E4" i="12"/>
  <c r="F724" i="1"/>
  <c r="I724" s="1"/>
  <c r="E29" i="12"/>
  <c r="F723" i="1"/>
  <c r="E28" i="12"/>
  <c r="F722" i="1"/>
  <c r="I722" s="1"/>
  <c r="E27" i="12"/>
  <c r="F721" i="1"/>
  <c r="E14" i="12"/>
  <c r="F720" i="1"/>
  <c r="J720" s="1"/>
  <c r="E25" i="12"/>
  <c r="F719" i="1"/>
  <c r="E18" i="12"/>
  <c r="F718" i="1"/>
  <c r="J718" s="1"/>
  <c r="E2" i="12"/>
  <c r="F717" i="1"/>
  <c r="E9" i="12"/>
  <c r="F716" i="1"/>
  <c r="I716" s="1"/>
  <c r="E22" i="12"/>
  <c r="F715" i="1"/>
  <c r="I715" s="1"/>
  <c r="E20" i="12"/>
  <c r="F709" i="1"/>
  <c r="I709" s="1"/>
  <c r="E10" i="12"/>
  <c r="P22" i="4"/>
  <c r="P91" i="3"/>
  <c r="F230" i="6"/>
  <c r="F205"/>
  <c r="P19" i="4"/>
  <c r="P94" i="3"/>
  <c r="P76"/>
  <c r="P70"/>
  <c r="P49"/>
  <c r="P22"/>
  <c r="P19"/>
  <c r="P9"/>
  <c r="C300" i="6"/>
  <c r="F300" s="1"/>
  <c r="B278"/>
  <c r="C218"/>
  <c r="B218"/>
  <c r="C194"/>
  <c r="F194" s="1"/>
  <c r="C149"/>
  <c r="F127"/>
  <c r="C106"/>
  <c r="F106" s="1"/>
  <c r="J361" i="1" s="1"/>
  <c r="C93" i="6"/>
  <c r="F93" s="1"/>
  <c r="C69"/>
  <c r="F69" s="1"/>
  <c r="B31"/>
  <c r="F31" s="1"/>
  <c r="F149"/>
  <c r="E29" i="3"/>
  <c r="E32" s="1"/>
  <c r="E44"/>
  <c r="E47" s="1"/>
  <c r="E50" s="1"/>
  <c r="E53" s="1"/>
  <c r="E56" s="1"/>
  <c r="E59" s="1"/>
  <c r="E62" s="1"/>
  <c r="P82"/>
  <c r="P12"/>
  <c r="C182" i="6"/>
  <c r="F182" s="1"/>
  <c r="F138"/>
  <c r="F81"/>
  <c r="E17" i="4"/>
  <c r="E20" s="1"/>
  <c r="E23" s="1"/>
  <c r="P97" i="3"/>
  <c r="P85"/>
  <c r="K10"/>
  <c r="P10" s="1"/>
  <c r="F289" i="6"/>
  <c r="P79" i="3"/>
  <c r="P64"/>
  <c r="C254" i="6"/>
  <c r="F254" s="1"/>
  <c r="C160"/>
  <c r="F160" s="1"/>
  <c r="I392" i="1"/>
  <c r="F278" i="6"/>
  <c r="P28" i="3"/>
  <c r="C242" i="6"/>
  <c r="F242" s="1"/>
  <c r="J445" i="1" s="1"/>
  <c r="I61"/>
  <c r="O185" i="2"/>
  <c r="N52"/>
  <c r="F32" i="1" s="1"/>
  <c r="I32" s="1"/>
  <c r="H2307" i="2"/>
  <c r="F345" i="1" s="1"/>
  <c r="J345" s="1"/>
  <c r="F215"/>
  <c r="I215" s="1"/>
  <c r="F666"/>
  <c r="I666" s="1"/>
  <c r="I639"/>
  <c r="K1978" i="2"/>
  <c r="J726" i="1"/>
  <c r="J725" s="1"/>
  <c r="I726"/>
  <c r="I725" s="1"/>
  <c r="H2258" i="2"/>
  <c r="F319" i="1"/>
  <c r="N3008" i="2"/>
  <c r="F643" i="1" s="1"/>
  <c r="I643" s="1"/>
  <c r="I317"/>
  <c r="J317"/>
  <c r="F316"/>
  <c r="I516"/>
  <c r="J516"/>
  <c r="I192"/>
  <c r="J192"/>
  <c r="F12"/>
  <c r="I12" s="1"/>
  <c r="I11" s="1"/>
  <c r="I122"/>
  <c r="J122"/>
  <c r="J349"/>
  <c r="I174"/>
  <c r="J174"/>
  <c r="I178"/>
  <c r="J178"/>
  <c r="I177"/>
  <c r="J177"/>
  <c r="I166"/>
  <c r="J166"/>
  <c r="H109"/>
  <c r="J109" s="1"/>
  <c r="I109"/>
  <c r="N855" i="2"/>
  <c r="N936"/>
  <c r="N937"/>
  <c r="N949"/>
  <c r="N940"/>
  <c r="N938"/>
  <c r="N948"/>
  <c r="N950"/>
  <c r="N939"/>
  <c r="N951"/>
  <c r="J626" i="1"/>
  <c r="J285"/>
  <c r="N947" i="2"/>
  <c r="N941"/>
  <c r="N942"/>
  <c r="N943"/>
  <c r="N944"/>
  <c r="N945"/>
  <c r="N946"/>
  <c r="I285" i="1"/>
  <c r="I626"/>
  <c r="J263"/>
  <c r="J16"/>
  <c r="O301" i="2"/>
  <c r="F73" i="1" s="1"/>
  <c r="J73" s="1"/>
  <c r="J719"/>
  <c r="I702"/>
  <c r="I701" s="1"/>
  <c r="J682"/>
  <c r="J681" s="1"/>
  <c r="J657"/>
  <c r="J647"/>
  <c r="J618"/>
  <c r="J595"/>
  <c r="J588"/>
  <c r="J545"/>
  <c r="J533"/>
  <c r="J471"/>
  <c r="J469"/>
  <c r="J461"/>
  <c r="J459"/>
  <c r="J377"/>
  <c r="J369"/>
  <c r="J292"/>
  <c r="J290"/>
  <c r="J261"/>
  <c r="J228"/>
  <c r="J75"/>
  <c r="J68"/>
  <c r="J24"/>
  <c r="I728"/>
  <c r="I727" s="1"/>
  <c r="I723"/>
  <c r="I721"/>
  <c r="J717"/>
  <c r="J714"/>
  <c r="J706"/>
  <c r="I694"/>
  <c r="I693" s="1"/>
  <c r="J678"/>
  <c r="J673"/>
  <c r="I672"/>
  <c r="J665"/>
  <c r="I633"/>
  <c r="J623"/>
  <c r="J617"/>
  <c r="J614"/>
  <c r="J605"/>
  <c r="J603"/>
  <c r="J597"/>
  <c r="J596"/>
  <c r="J593"/>
  <c r="J589"/>
  <c r="J585"/>
  <c r="J578"/>
  <c r="J576"/>
  <c r="J568"/>
  <c r="J566"/>
  <c r="J561"/>
  <c r="J550"/>
  <c r="J546"/>
  <c r="J543"/>
  <c r="J539"/>
  <c r="J531"/>
  <c r="J530"/>
  <c r="J521"/>
  <c r="J502"/>
  <c r="J487"/>
  <c r="J481"/>
  <c r="J477"/>
  <c r="I475"/>
  <c r="J470"/>
  <c r="J467"/>
  <c r="J466"/>
  <c r="J463"/>
  <c r="J451"/>
  <c r="J449"/>
  <c r="J442"/>
  <c r="J441"/>
  <c r="J434"/>
  <c r="J424"/>
  <c r="J409"/>
  <c r="J402"/>
  <c r="J387"/>
  <c r="J374"/>
  <c r="J371"/>
  <c r="J360"/>
  <c r="J357"/>
  <c r="J356"/>
  <c r="I348"/>
  <c r="J286"/>
  <c r="J280"/>
  <c r="J277"/>
  <c r="J262"/>
  <c r="J249"/>
  <c r="J246"/>
  <c r="J220"/>
  <c r="J151"/>
  <c r="J141"/>
  <c r="J92"/>
  <c r="J26"/>
  <c r="J18"/>
  <c r="J113"/>
  <c r="I249"/>
  <c r="J237"/>
  <c r="I597"/>
  <c r="I487"/>
  <c r="I75"/>
  <c r="J139"/>
  <c r="J34"/>
  <c r="I34"/>
  <c r="I26"/>
  <c r="I471"/>
  <c r="J437"/>
  <c r="J486"/>
  <c r="J348"/>
  <c r="I24"/>
  <c r="J393"/>
  <c r="I261"/>
  <c r="I647"/>
  <c r="I346"/>
  <c r="J265"/>
  <c r="I265"/>
  <c r="I412"/>
  <c r="J412"/>
  <c r="I534"/>
  <c r="J534"/>
  <c r="J230"/>
  <c r="J378"/>
  <c r="I220"/>
  <c r="I465"/>
  <c r="J465"/>
  <c r="I363"/>
  <c r="J363"/>
  <c r="J540"/>
  <c r="J571"/>
  <c r="J235"/>
  <c r="I461"/>
  <c r="J36"/>
  <c r="I380"/>
  <c r="J380"/>
  <c r="J392"/>
  <c r="J302"/>
  <c r="J31"/>
  <c r="I290"/>
  <c r="I504"/>
  <c r="J504"/>
  <c r="J440"/>
  <c r="I440"/>
  <c r="I558"/>
  <c r="J558"/>
  <c r="J464"/>
  <c r="I464"/>
  <c r="I377"/>
  <c r="I595"/>
  <c r="H22" i="2"/>
  <c r="J222" i="1"/>
  <c r="I92"/>
  <c r="I618"/>
  <c r="J699"/>
  <c r="F133"/>
  <c r="I133" s="1"/>
  <c r="J509"/>
  <c r="J479"/>
  <c r="I384"/>
  <c r="J384"/>
  <c r="I269"/>
  <c r="J269"/>
  <c r="I433"/>
  <c r="J433"/>
  <c r="J281"/>
  <c r="I281"/>
  <c r="I552"/>
  <c r="J552"/>
  <c r="I451"/>
  <c r="J632"/>
  <c r="I718"/>
  <c r="J526"/>
  <c r="I576"/>
  <c r="J242"/>
  <c r="N1838" i="2"/>
  <c r="F193" i="1" s="1"/>
  <c r="I682"/>
  <c r="I681" s="1"/>
  <c r="I525"/>
  <c r="J525"/>
  <c r="J512"/>
  <c r="I512"/>
  <c r="J399"/>
  <c r="I399"/>
  <c r="I396"/>
  <c r="J396"/>
  <c r="I391"/>
  <c r="J391"/>
  <c r="J350"/>
  <c r="I350"/>
  <c r="J219"/>
  <c r="I219"/>
  <c r="I369"/>
  <c r="I409"/>
  <c r="I603"/>
  <c r="J432"/>
  <c r="I442"/>
  <c r="J666"/>
  <c r="J417"/>
  <c r="I347"/>
  <c r="J347"/>
  <c r="J238"/>
  <c r="I238"/>
  <c r="J226"/>
  <c r="I226"/>
  <c r="J455"/>
  <c r="I455"/>
  <c r="I450"/>
  <c r="J450"/>
  <c r="J551"/>
  <c r="I551"/>
  <c r="I268"/>
  <c r="J268"/>
  <c r="I675"/>
  <c r="J675"/>
  <c r="I537"/>
  <c r="J537"/>
  <c r="I500"/>
  <c r="J500"/>
  <c r="J587"/>
  <c r="I587"/>
  <c r="I463"/>
  <c r="I545"/>
  <c r="J32"/>
  <c r="I277"/>
  <c r="I466"/>
  <c r="J425"/>
  <c r="J17"/>
  <c r="I566"/>
  <c r="J283"/>
  <c r="L1150" i="2"/>
  <c r="F126" i="1" s="1"/>
  <c r="I126" s="1"/>
  <c r="I449"/>
  <c r="I402"/>
  <c r="J231"/>
  <c r="J633"/>
  <c r="J299"/>
  <c r="J353"/>
  <c r="J305"/>
  <c r="I441"/>
  <c r="J430"/>
  <c r="I589"/>
  <c r="J313"/>
  <c r="I367"/>
  <c r="J367"/>
  <c r="I498"/>
  <c r="J498"/>
  <c r="I604"/>
  <c r="J604"/>
  <c r="I510"/>
  <c r="J510"/>
  <c r="I505"/>
  <c r="J505"/>
  <c r="I661"/>
  <c r="J661"/>
  <c r="J251"/>
  <c r="I251"/>
  <c r="I274"/>
  <c r="J274"/>
  <c r="J641"/>
  <c r="J506"/>
  <c r="J480"/>
  <c r="J702"/>
  <c r="J701" s="1"/>
  <c r="D17" i="4" s="1"/>
  <c r="F17" s="1"/>
  <c r="I481" i="1"/>
  <c r="I588"/>
  <c r="I719"/>
  <c r="I469"/>
  <c r="J257"/>
  <c r="J553"/>
  <c r="N3037" i="2"/>
  <c r="F654" i="1" s="1"/>
  <c r="J140"/>
  <c r="I665"/>
  <c r="I521"/>
  <c r="J270"/>
  <c r="J95"/>
  <c r="I374"/>
  <c r="J300"/>
  <c r="J478"/>
  <c r="I530"/>
  <c r="J415"/>
  <c r="I415"/>
  <c r="I291"/>
  <c r="J291"/>
  <c r="I582"/>
  <c r="J582"/>
  <c r="I532"/>
  <c r="J532"/>
  <c r="I507"/>
  <c r="J507"/>
  <c r="I229"/>
  <c r="J229"/>
  <c r="J233"/>
  <c r="I233"/>
  <c r="J240"/>
  <c r="I240"/>
  <c r="J289"/>
  <c r="I289"/>
  <c r="I244"/>
  <c r="J244"/>
  <c r="I372"/>
  <c r="J372"/>
  <c r="J303"/>
  <c r="I303"/>
  <c r="J232"/>
  <c r="I232"/>
  <c r="N1970" i="2"/>
  <c r="F202" i="1" s="1"/>
  <c r="J202" s="1"/>
  <c r="F201"/>
  <c r="I201" s="1"/>
  <c r="N1877" i="2"/>
  <c r="F198" i="1" s="1"/>
  <c r="I198" s="1"/>
  <c r="F74"/>
  <c r="I74" s="1"/>
  <c r="J621"/>
  <c r="J453"/>
  <c r="F318"/>
  <c r="J224"/>
  <c r="I546"/>
  <c r="J572"/>
  <c r="I424"/>
  <c r="I539"/>
  <c r="J454"/>
  <c r="J713"/>
  <c r="J535"/>
  <c r="F575"/>
  <c r="I575" s="1"/>
  <c r="I262"/>
  <c r="J413"/>
  <c r="J420"/>
  <c r="I561"/>
  <c r="I531"/>
  <c r="J410"/>
  <c r="J312"/>
  <c r="J554"/>
  <c r="J529"/>
  <c r="J376"/>
  <c r="J93"/>
  <c r="I477"/>
  <c r="J436"/>
  <c r="J680"/>
  <c r="I502"/>
  <c r="J381"/>
  <c r="F636"/>
  <c r="I636" s="1"/>
  <c r="I635" s="1"/>
  <c r="N1314" i="2"/>
  <c r="F154" i="1" s="1"/>
  <c r="I145"/>
  <c r="F132"/>
  <c r="J132" s="1"/>
  <c r="F130"/>
  <c r="J130" s="1"/>
  <c r="J115"/>
  <c r="I115"/>
  <c r="I79"/>
  <c r="J79"/>
  <c r="J601"/>
  <c r="I601"/>
  <c r="J35"/>
  <c r="I35"/>
  <c r="I223"/>
  <c r="J223"/>
  <c r="J239"/>
  <c r="I239"/>
  <c r="J218"/>
  <c r="I218"/>
  <c r="I536"/>
  <c r="J536"/>
  <c r="J499"/>
  <c r="I499"/>
  <c r="J460"/>
  <c r="I460"/>
  <c r="I438"/>
  <c r="J438"/>
  <c r="I352"/>
  <c r="J352"/>
  <c r="I276"/>
  <c r="J276"/>
  <c r="I253"/>
  <c r="J253"/>
  <c r="J248"/>
  <c r="I248"/>
  <c r="I581"/>
  <c r="J581"/>
  <c r="I243"/>
  <c r="J243"/>
  <c r="I556"/>
  <c r="J556"/>
  <c r="J549"/>
  <c r="I549"/>
  <c r="J538"/>
  <c r="I538"/>
  <c r="I522"/>
  <c r="J522"/>
  <c r="J400"/>
  <c r="I400"/>
  <c r="J397"/>
  <c r="I397"/>
  <c r="I385"/>
  <c r="J385"/>
  <c r="I373"/>
  <c r="J373"/>
  <c r="I314"/>
  <c r="J314"/>
  <c r="I309"/>
  <c r="J309"/>
  <c r="I278"/>
  <c r="J278"/>
  <c r="I266"/>
  <c r="J266"/>
  <c r="I30"/>
  <c r="J30"/>
  <c r="I245"/>
  <c r="J245"/>
  <c r="I125"/>
  <c r="J125"/>
  <c r="I88"/>
  <c r="J88"/>
  <c r="I712"/>
  <c r="J712"/>
  <c r="I707"/>
  <c r="J707"/>
  <c r="J642"/>
  <c r="I642"/>
  <c r="J697"/>
  <c r="I697"/>
  <c r="I720"/>
  <c r="I627"/>
  <c r="J627"/>
  <c r="J606"/>
  <c r="I606"/>
  <c r="I585"/>
  <c r="J395"/>
  <c r="J548"/>
  <c r="I680"/>
  <c r="J639"/>
  <c r="I568"/>
  <c r="N1477" i="2"/>
  <c r="F169" i="1" s="1"/>
  <c r="I623"/>
  <c r="J590"/>
  <c r="I578"/>
  <c r="I614"/>
  <c r="J462"/>
  <c r="J723"/>
  <c r="J389"/>
  <c r="I470"/>
  <c r="J649"/>
  <c r="I357"/>
  <c r="J354"/>
  <c r="J311"/>
  <c r="J394"/>
  <c r="J586"/>
  <c r="I434"/>
  <c r="J250"/>
  <c r="J591"/>
  <c r="I533"/>
  <c r="I246"/>
  <c r="J422"/>
  <c r="I617"/>
  <c r="J260"/>
  <c r="I593"/>
  <c r="J501"/>
  <c r="J602"/>
  <c r="J293"/>
  <c r="I467"/>
  <c r="J579"/>
  <c r="I292"/>
  <c r="J700"/>
  <c r="I356"/>
  <c r="J364"/>
  <c r="J475"/>
  <c r="J482"/>
  <c r="J715"/>
  <c r="I673"/>
  <c r="J483"/>
  <c r="J418"/>
  <c r="J439"/>
  <c r="J698"/>
  <c r="J600"/>
  <c r="J241"/>
  <c r="I419"/>
  <c r="J419"/>
  <c r="I383"/>
  <c r="J383"/>
  <c r="I264"/>
  <c r="J264"/>
  <c r="J359"/>
  <c r="I359"/>
  <c r="J443"/>
  <c r="I443"/>
  <c r="J366"/>
  <c r="I366"/>
  <c r="J514"/>
  <c r="I514"/>
  <c r="I70"/>
  <c r="J70"/>
  <c r="I573"/>
  <c r="J573"/>
  <c r="J527"/>
  <c r="I527"/>
  <c r="I370"/>
  <c r="J370"/>
  <c r="J301"/>
  <c r="I301"/>
  <c r="J254"/>
  <c r="I254"/>
  <c r="I559"/>
  <c r="J559"/>
  <c r="I513"/>
  <c r="J513"/>
  <c r="J386"/>
  <c r="I386"/>
  <c r="I256"/>
  <c r="J256"/>
  <c r="I114"/>
  <c r="J114"/>
  <c r="I421"/>
  <c r="J421"/>
  <c r="J355"/>
  <c r="I355"/>
  <c r="I310"/>
  <c r="J310"/>
  <c r="J515"/>
  <c r="I515"/>
  <c r="I221"/>
  <c r="J221"/>
  <c r="I612"/>
  <c r="J612"/>
  <c r="J610"/>
  <c r="I610"/>
  <c r="J567"/>
  <c r="I567"/>
  <c r="J14"/>
  <c r="J648"/>
  <c r="J284"/>
  <c r="N513" i="2"/>
  <c r="F85" i="1" s="1"/>
  <c r="I85" s="1"/>
  <c r="I84" s="1"/>
  <c r="J382"/>
  <c r="I387"/>
  <c r="N1933" i="2"/>
  <c r="J662" i="1"/>
  <c r="J91"/>
  <c r="N1416" i="2"/>
  <c r="F164" i="1" s="1"/>
  <c r="J584"/>
  <c r="J708"/>
  <c r="J716"/>
  <c r="J508"/>
  <c r="J272"/>
  <c r="J560"/>
  <c r="J503"/>
  <c r="J225"/>
  <c r="J423"/>
  <c r="I459"/>
  <c r="J472"/>
  <c r="J388"/>
  <c r="J547"/>
  <c r="I657"/>
  <c r="J565"/>
  <c r="J497"/>
  <c r="J705"/>
  <c r="J669"/>
  <c r="J401"/>
  <c r="I592"/>
  <c r="J592"/>
  <c r="J667"/>
  <c r="I667"/>
  <c r="J236"/>
  <c r="I236"/>
  <c r="I411"/>
  <c r="J411"/>
  <c r="I279"/>
  <c r="J279"/>
  <c r="I267"/>
  <c r="J267"/>
  <c r="J120"/>
  <c r="J564"/>
  <c r="I564"/>
  <c r="J457"/>
  <c r="I457"/>
  <c r="I21"/>
  <c r="I20" s="1"/>
  <c r="J21"/>
  <c r="J20" s="1"/>
  <c r="J643"/>
  <c r="J152"/>
  <c r="I152"/>
  <c r="I108"/>
  <c r="J108"/>
  <c r="J416"/>
  <c r="I416"/>
  <c r="I123"/>
  <c r="J123"/>
  <c r="J631"/>
  <c r="I631"/>
  <c r="I431"/>
  <c r="J431"/>
  <c r="J426"/>
  <c r="I426"/>
  <c r="I362"/>
  <c r="J362"/>
  <c r="J570"/>
  <c r="I570"/>
  <c r="I390"/>
  <c r="J390"/>
  <c r="J351"/>
  <c r="I351"/>
  <c r="I304"/>
  <c r="J304"/>
  <c r="J271"/>
  <c r="I271"/>
  <c r="J146"/>
  <c r="I146"/>
  <c r="J234"/>
  <c r="I234"/>
  <c r="I360"/>
  <c r="J728"/>
  <c r="J727" s="1"/>
  <c r="J116"/>
  <c r="J89"/>
  <c r="I89"/>
  <c r="I640"/>
  <c r="J640"/>
  <c r="I555"/>
  <c r="J555"/>
  <c r="I217"/>
  <c r="J217"/>
  <c r="I677"/>
  <c r="J677"/>
  <c r="J672"/>
  <c r="I557"/>
  <c r="J557"/>
  <c r="I33"/>
  <c r="J33"/>
  <c r="I228"/>
  <c r="I607"/>
  <c r="J607"/>
  <c r="I599"/>
  <c r="J599"/>
  <c r="I580"/>
  <c r="J580"/>
  <c r="J448"/>
  <c r="I448"/>
  <c r="I435"/>
  <c r="J435"/>
  <c r="J287"/>
  <c r="I287"/>
  <c r="I117"/>
  <c r="J117"/>
  <c r="I523"/>
  <c r="J523"/>
  <c r="J622"/>
  <c r="I622"/>
  <c r="J307"/>
  <c r="I307"/>
  <c r="J344"/>
  <c r="I344"/>
  <c r="I273"/>
  <c r="J273"/>
  <c r="J25"/>
  <c r="I25"/>
  <c r="I652"/>
  <c r="J652"/>
  <c r="I611"/>
  <c r="J611"/>
  <c r="J583"/>
  <c r="I583"/>
  <c r="J524"/>
  <c r="I524"/>
  <c r="J275"/>
  <c r="I275"/>
  <c r="I155"/>
  <c r="J155"/>
  <c r="I286"/>
  <c r="J368"/>
  <c r="I550"/>
  <c r="J485"/>
  <c r="I616"/>
  <c r="J616"/>
  <c r="J447"/>
  <c r="I447"/>
  <c r="I247"/>
  <c r="J247"/>
  <c r="J216"/>
  <c r="I282"/>
  <c r="J282"/>
  <c r="I371"/>
  <c r="I613"/>
  <c r="J613"/>
  <c r="I596"/>
  <c r="J574"/>
  <c r="I574"/>
  <c r="I569"/>
  <c r="J569"/>
  <c r="J542"/>
  <c r="I542"/>
  <c r="J365"/>
  <c r="I365"/>
  <c r="I252"/>
  <c r="J252"/>
  <c r="J94"/>
  <c r="J474"/>
  <c r="I474"/>
  <c r="J375"/>
  <c r="I375"/>
  <c r="O378" i="2"/>
  <c r="J696" i="1"/>
  <c r="J625"/>
  <c r="I543"/>
  <c r="J427"/>
  <c r="I141"/>
  <c r="J76"/>
  <c r="J23"/>
  <c r="J12"/>
  <c r="N3107" i="2"/>
  <c r="J721" i="1"/>
  <c r="J711"/>
  <c r="J656"/>
  <c r="J624"/>
  <c r="J562"/>
  <c r="J255"/>
  <c r="I714"/>
  <c r="J710"/>
  <c r="J694"/>
  <c r="J693" s="1"/>
  <c r="J403"/>
  <c r="J306"/>
  <c r="J227"/>
  <c r="I706"/>
  <c r="J541"/>
  <c r="J709"/>
  <c r="J468"/>
  <c r="J358"/>
  <c r="J414"/>
  <c r="F134"/>
  <c r="I678"/>
  <c r="J664"/>
  <c r="J658"/>
  <c r="J646"/>
  <c r="J473"/>
  <c r="J379"/>
  <c r="J288"/>
  <c r="F131"/>
  <c r="I131" s="1"/>
  <c r="J663"/>
  <c r="J598"/>
  <c r="J563"/>
  <c r="J96"/>
  <c r="N1832" i="2"/>
  <c r="F191" i="1" s="1"/>
  <c r="N1494" i="2"/>
  <c r="F171" i="1" s="1"/>
  <c r="N1475" i="2"/>
  <c r="N1397"/>
  <c r="F163" i="1" s="1"/>
  <c r="N1311" i="2"/>
  <c r="F153" i="1" s="1"/>
  <c r="O296" i="2"/>
  <c r="P25" i="4"/>
  <c r="P16"/>
  <c r="P88" i="3"/>
  <c r="P73"/>
  <c r="P67"/>
  <c r="P55"/>
  <c r="P25"/>
  <c r="P16"/>
  <c r="G55" i="9"/>
  <c r="G20"/>
  <c r="B45" i="6"/>
  <c r="F45" s="1"/>
  <c r="B16"/>
  <c r="F16" s="1"/>
  <c r="I695" i="1" l="1"/>
  <c r="J27"/>
  <c r="H6" i="12"/>
  <c r="I6"/>
  <c r="J6" s="1"/>
  <c r="H17"/>
  <c r="I17"/>
  <c r="J17" s="1"/>
  <c r="I23"/>
  <c r="J23" s="1"/>
  <c r="H23"/>
  <c r="I7"/>
  <c r="J7" s="1"/>
  <c r="H7"/>
  <c r="I3"/>
  <c r="J3" s="1"/>
  <c r="H3"/>
  <c r="H5"/>
  <c r="I5"/>
  <c r="J5" s="1"/>
  <c r="H10"/>
  <c r="I10"/>
  <c r="J10" s="1"/>
  <c r="H22"/>
  <c r="I22"/>
  <c r="J22" s="1"/>
  <c r="H2"/>
  <c r="I2"/>
  <c r="J2" s="1"/>
  <c r="K2" s="1"/>
  <c r="H25"/>
  <c r="I25"/>
  <c r="J25" s="1"/>
  <c r="H27"/>
  <c r="I27"/>
  <c r="J27" s="1"/>
  <c r="H29"/>
  <c r="I29"/>
  <c r="J29" s="1"/>
  <c r="H9"/>
  <c r="G9"/>
  <c r="I9" s="1"/>
  <c r="J9" s="1"/>
  <c r="I717" i="1"/>
  <c r="J722"/>
  <c r="F218" i="6"/>
  <c r="H26" i="12"/>
  <c r="I26"/>
  <c r="J26" s="1"/>
  <c r="I13"/>
  <c r="J13" s="1"/>
  <c r="H13"/>
  <c r="H21"/>
  <c r="I21"/>
  <c r="J21" s="1"/>
  <c r="I15"/>
  <c r="J15" s="1"/>
  <c r="H15"/>
  <c r="H11"/>
  <c r="I11"/>
  <c r="J11" s="1"/>
  <c r="H12"/>
  <c r="I12"/>
  <c r="J12" s="1"/>
  <c r="H30"/>
  <c r="I30"/>
  <c r="J30" s="1"/>
  <c r="H8"/>
  <c r="I8"/>
  <c r="J8" s="1"/>
  <c r="J724" i="1"/>
  <c r="H20" i="12"/>
  <c r="I20"/>
  <c r="J20" s="1"/>
  <c r="H18"/>
  <c r="I18"/>
  <c r="J18" s="1"/>
  <c r="H14"/>
  <c r="I14"/>
  <c r="J14" s="1"/>
  <c r="H28"/>
  <c r="I28"/>
  <c r="J28" s="1"/>
  <c r="I4"/>
  <c r="J4" s="1"/>
  <c r="H4"/>
  <c r="H24"/>
  <c r="I24"/>
  <c r="J24" s="1"/>
  <c r="I345" i="1"/>
  <c r="M17" i="4"/>
  <c r="N17"/>
  <c r="I349" i="1"/>
  <c r="I361"/>
  <c r="J176"/>
  <c r="I176"/>
  <c r="J87"/>
  <c r="E68" i="3"/>
  <c r="E71" s="1"/>
  <c r="E74" s="1"/>
  <c r="E77" s="1"/>
  <c r="E80" s="1"/>
  <c r="E83" s="1"/>
  <c r="E86" s="1"/>
  <c r="E89" s="1"/>
  <c r="E65"/>
  <c r="I620" i="1"/>
  <c r="J215"/>
  <c r="J212" s="1"/>
  <c r="D47" i="3" s="1"/>
  <c r="F47" s="1"/>
  <c r="I638" i="1"/>
  <c r="I212"/>
  <c r="J668"/>
  <c r="J660" s="1"/>
  <c r="I668"/>
  <c r="I660" s="1"/>
  <c r="N933" i="2"/>
  <c r="F342" i="1"/>
  <c r="J342" s="1"/>
  <c r="H2304" i="2"/>
  <c r="J620" i="1"/>
  <c r="D89" i="3" s="1"/>
  <c r="F89" s="1"/>
  <c r="J259" i="1"/>
  <c r="D50" i="3" s="1"/>
  <c r="F50" s="1"/>
  <c r="I259" i="1"/>
  <c r="I119"/>
  <c r="K1981" i="2"/>
  <c r="N1981" s="1"/>
  <c r="N1979" s="1"/>
  <c r="F204" i="1" s="1"/>
  <c r="J204" s="1"/>
  <c r="N1978" i="2"/>
  <c r="N1976" s="1"/>
  <c r="F203" i="1" s="1"/>
  <c r="J203" s="1"/>
  <c r="I645"/>
  <c r="F101"/>
  <c r="J101" s="1"/>
  <c r="L849" i="2"/>
  <c r="I144" i="1"/>
  <c r="J638"/>
  <c r="I318"/>
  <c r="J318"/>
  <c r="I319"/>
  <c r="J319"/>
  <c r="I316"/>
  <c r="J316"/>
  <c r="I27"/>
  <c r="F200"/>
  <c r="J200" s="1"/>
  <c r="F199"/>
  <c r="I87"/>
  <c r="I191"/>
  <c r="J191"/>
  <c r="I193"/>
  <c r="J193"/>
  <c r="F168"/>
  <c r="I168" s="1"/>
  <c r="I173"/>
  <c r="I172" s="1"/>
  <c r="J173"/>
  <c r="J172" s="1"/>
  <c r="I169"/>
  <c r="J169"/>
  <c r="I163"/>
  <c r="J163"/>
  <c r="J171"/>
  <c r="I171"/>
  <c r="I164"/>
  <c r="J164"/>
  <c r="F71"/>
  <c r="J71" s="1"/>
  <c r="I73"/>
  <c r="I67"/>
  <c r="I630"/>
  <c r="I113"/>
  <c r="F59"/>
  <c r="J59" s="1"/>
  <c r="J58" s="1"/>
  <c r="I63"/>
  <c r="I60" s="1"/>
  <c r="I22"/>
  <c r="J145"/>
  <c r="J144" s="1"/>
  <c r="J636"/>
  <c r="J635" s="1"/>
  <c r="J198"/>
  <c r="J133"/>
  <c r="I202"/>
  <c r="J126"/>
  <c r="J119" s="1"/>
  <c r="J630"/>
  <c r="D92" i="3" s="1"/>
  <c r="F92" s="1"/>
  <c r="I130" i="1"/>
  <c r="I132"/>
  <c r="J67"/>
  <c r="J201"/>
  <c r="I200"/>
  <c r="I654"/>
  <c r="I653" s="1"/>
  <c r="J654"/>
  <c r="J653" s="1"/>
  <c r="L17" i="4"/>
  <c r="J575" i="1"/>
  <c r="J528" s="1"/>
  <c r="D80" i="3" s="1"/>
  <c r="F80" s="1"/>
  <c r="K80" s="1"/>
  <c r="K17" i="4"/>
  <c r="O17"/>
  <c r="I101" i="1"/>
  <c r="J74"/>
  <c r="J22"/>
  <c r="J484"/>
  <c r="D74" i="3" s="1"/>
  <c r="F74" s="1"/>
  <c r="I520" i="1"/>
  <c r="J131"/>
  <c r="I484"/>
  <c r="J695"/>
  <c r="D14" i="4" s="1"/>
  <c r="F14" s="1"/>
  <c r="N14" s="1"/>
  <c r="I528" i="1"/>
  <c r="J398"/>
  <c r="D65" i="3" s="1"/>
  <c r="F65" s="1"/>
  <c r="I398" i="1"/>
  <c r="J85"/>
  <c r="J84" s="1"/>
  <c r="I446"/>
  <c r="J11"/>
  <c r="D8" i="3" s="1"/>
  <c r="F8" s="1"/>
  <c r="I577" i="1"/>
  <c r="I476"/>
  <c r="I456" s="1"/>
  <c r="J476"/>
  <c r="J456" s="1"/>
  <c r="D71" i="3" s="1"/>
  <c r="F71" s="1"/>
  <c r="M71" s="1"/>
  <c r="H923" i="2"/>
  <c r="F102" i="1" s="1"/>
  <c r="F83"/>
  <c r="J520"/>
  <c r="D77" i="3" s="1"/>
  <c r="F77" s="1"/>
  <c r="I112" i="1"/>
  <c r="J112"/>
  <c r="J111" s="1"/>
  <c r="D23" i="4"/>
  <c r="F23" s="1"/>
  <c r="N23" s="1"/>
  <c r="J446" i="1"/>
  <c r="D68" i="3" s="1"/>
  <c r="F68" s="1"/>
  <c r="D11" i="4"/>
  <c r="I609" i="1"/>
  <c r="I608" s="1"/>
  <c r="J609"/>
  <c r="J608" s="1"/>
  <c r="J577"/>
  <c r="D83" i="3" s="1"/>
  <c r="F83" s="1"/>
  <c r="N83" s="1"/>
  <c r="I704" i="1"/>
  <c r="I703" s="1"/>
  <c r="I730" s="1"/>
  <c r="J733" s="1"/>
  <c r="I676"/>
  <c r="J676"/>
  <c r="J134"/>
  <c r="I134"/>
  <c r="J138"/>
  <c r="J137" s="1"/>
  <c r="I138"/>
  <c r="I137" s="1"/>
  <c r="J154"/>
  <c r="I154"/>
  <c r="J308"/>
  <c r="J298" s="1"/>
  <c r="I308"/>
  <c r="I298" s="1"/>
  <c r="I674"/>
  <c r="J674"/>
  <c r="J679"/>
  <c r="I679"/>
  <c r="I72"/>
  <c r="J72"/>
  <c r="I153"/>
  <c r="J153"/>
  <c r="J704" l="1"/>
  <c r="J703" s="1"/>
  <c r="I111"/>
  <c r="K3" i="12"/>
  <c r="K4" s="1"/>
  <c r="K5" s="1"/>
  <c r="K6" s="1"/>
  <c r="K7" s="1"/>
  <c r="K8" s="1"/>
  <c r="K9" s="1"/>
  <c r="K10" s="1"/>
  <c r="K11" s="1"/>
  <c r="K12" s="1"/>
  <c r="K13" s="1"/>
  <c r="K14" s="1"/>
  <c r="K15" s="1"/>
  <c r="K16" s="1"/>
  <c r="K17" s="1"/>
  <c r="K18" s="1"/>
  <c r="K19" s="1"/>
  <c r="K20" s="1"/>
  <c r="K21" s="1"/>
  <c r="K22" s="1"/>
  <c r="K23" s="1"/>
  <c r="K24" s="1"/>
  <c r="K25" s="1"/>
  <c r="K26" s="1"/>
  <c r="K27" s="1"/>
  <c r="K28" s="1"/>
  <c r="K29" s="1"/>
  <c r="K30" s="1"/>
  <c r="I315" i="1"/>
  <c r="J315"/>
  <c r="D56" i="3" s="1"/>
  <c r="F56" s="1"/>
  <c r="O56" s="1"/>
  <c r="I204" i="1"/>
  <c r="K92" i="3"/>
  <c r="O92"/>
  <c r="N92"/>
  <c r="N89"/>
  <c r="M89"/>
  <c r="O89"/>
  <c r="I203" i="1"/>
  <c r="M65" i="3"/>
  <c r="N65"/>
  <c r="M74"/>
  <c r="N74"/>
  <c r="N68"/>
  <c r="M68"/>
  <c r="L68"/>
  <c r="N77"/>
  <c r="O77"/>
  <c r="M47"/>
  <c r="N47"/>
  <c r="I50"/>
  <c r="N50"/>
  <c r="J69" i="1"/>
  <c r="J66" s="1"/>
  <c r="H8" i="3"/>
  <c r="N8"/>
  <c r="I190" i="1"/>
  <c r="I342"/>
  <c r="E95" i="3"/>
  <c r="E98" s="1"/>
  <c r="E92"/>
  <c r="J190" i="1"/>
  <c r="H2303" i="2"/>
  <c r="F343" i="1"/>
  <c r="I102"/>
  <c r="I100" s="1"/>
  <c r="J102"/>
  <c r="J100" s="1"/>
  <c r="J199"/>
  <c r="J197" s="1"/>
  <c r="D41" i="3" s="1"/>
  <c r="F41" s="1"/>
  <c r="N41" s="1"/>
  <c r="I199" i="1"/>
  <c r="J168"/>
  <c r="J167" s="1"/>
  <c r="I187"/>
  <c r="I186" s="1"/>
  <c r="J187"/>
  <c r="J186" s="1"/>
  <c r="I161"/>
  <c r="J161"/>
  <c r="I167"/>
  <c r="F107"/>
  <c r="I107" s="1"/>
  <c r="I106" s="1"/>
  <c r="J129"/>
  <c r="D29" i="3" s="1"/>
  <c r="F29" s="1"/>
  <c r="I129" i="1"/>
  <c r="I71"/>
  <c r="I69" s="1"/>
  <c r="I66" s="1"/>
  <c r="J63"/>
  <c r="J60" s="1"/>
  <c r="J57" s="1"/>
  <c r="I59"/>
  <c r="I58" s="1"/>
  <c r="I57" s="1"/>
  <c r="D26" i="3"/>
  <c r="F26" s="1"/>
  <c r="M92"/>
  <c r="L92"/>
  <c r="J50"/>
  <c r="L50"/>
  <c r="M50"/>
  <c r="O50"/>
  <c r="K50"/>
  <c r="I634" i="1"/>
  <c r="J47" i="3"/>
  <c r="J74"/>
  <c r="I74"/>
  <c r="L65"/>
  <c r="O74"/>
  <c r="O65"/>
  <c r="K74"/>
  <c r="K65"/>
  <c r="L74"/>
  <c r="O47"/>
  <c r="L47"/>
  <c r="I8"/>
  <c r="I47"/>
  <c r="J645" i="1"/>
  <c r="J634" s="1"/>
  <c r="K47" i="3"/>
  <c r="O80"/>
  <c r="L80"/>
  <c r="M80"/>
  <c r="I211" i="1"/>
  <c r="D86" i="3"/>
  <c r="F86" s="1"/>
  <c r="K8"/>
  <c r="J8"/>
  <c r="O8"/>
  <c r="M8"/>
  <c r="L8"/>
  <c r="J734" i="1"/>
  <c r="L77" i="3"/>
  <c r="M77"/>
  <c r="L89"/>
  <c r="K89"/>
  <c r="J71"/>
  <c r="I71"/>
  <c r="K71"/>
  <c r="L71"/>
  <c r="F11" i="4"/>
  <c r="N11" s="1"/>
  <c r="I83" i="1"/>
  <c r="I82" s="1"/>
  <c r="J83"/>
  <c r="J82" s="1"/>
  <c r="O14" i="4"/>
  <c r="K14"/>
  <c r="L14"/>
  <c r="M14"/>
  <c r="K68" i="3"/>
  <c r="O68"/>
  <c r="M23" i="4"/>
  <c r="K23"/>
  <c r="L23"/>
  <c r="O23"/>
  <c r="O83" i="3"/>
  <c r="M83"/>
  <c r="K83"/>
  <c r="L83"/>
  <c r="J671" i="1"/>
  <c r="I671"/>
  <c r="I659" s="1"/>
  <c r="D53" i="3"/>
  <c r="F53" s="1"/>
  <c r="N53" s="1"/>
  <c r="J211" i="1"/>
  <c r="N56" i="3" l="1"/>
  <c r="M56"/>
  <c r="I197" i="1"/>
  <c r="O86" i="3"/>
  <c r="N86"/>
  <c r="J29"/>
  <c r="N29"/>
  <c r="M29"/>
  <c r="M26"/>
  <c r="N26"/>
  <c r="I343" i="1"/>
  <c r="I341" s="1"/>
  <c r="I340" s="1"/>
  <c r="J343"/>
  <c r="J341" s="1"/>
  <c r="I180"/>
  <c r="I160"/>
  <c r="J180"/>
  <c r="D38" i="3" s="1"/>
  <c r="J160" i="1"/>
  <c r="J107"/>
  <c r="I105"/>
  <c r="L26" i="3"/>
  <c r="L86"/>
  <c r="I29"/>
  <c r="L29"/>
  <c r="K29"/>
  <c r="K86"/>
  <c r="M86"/>
  <c r="I81" i="1"/>
  <c r="O11" i="4"/>
  <c r="M11"/>
  <c r="D20"/>
  <c r="J730" i="1"/>
  <c r="K703" s="1"/>
  <c r="J81"/>
  <c r="D95" i="3"/>
  <c r="F95" s="1"/>
  <c r="N95" s="1"/>
  <c r="D44"/>
  <c r="F44" s="1"/>
  <c r="L53"/>
  <c r="O53"/>
  <c r="M53"/>
  <c r="J659" i="1"/>
  <c r="D17" i="3"/>
  <c r="K41"/>
  <c r="O41"/>
  <c r="M41"/>
  <c r="L41"/>
  <c r="N45" l="1"/>
  <c r="N46" s="1"/>
  <c r="D20"/>
  <c r="F20" s="1"/>
  <c r="L20" s="1"/>
  <c r="F17"/>
  <c r="I17" s="1"/>
  <c r="J106" i="1"/>
  <c r="J105" s="1"/>
  <c r="D23" i="3" s="1"/>
  <c r="F23" s="1"/>
  <c r="L23" s="1"/>
  <c r="J340" i="1"/>
  <c r="D59" i="3" s="1"/>
  <c r="F59" s="1"/>
  <c r="D62"/>
  <c r="D35"/>
  <c r="F35" s="1"/>
  <c r="D14"/>
  <c r="O45"/>
  <c r="O46" s="1"/>
  <c r="L45"/>
  <c r="L46" s="1"/>
  <c r="M45"/>
  <c r="M46" s="1"/>
  <c r="F20" i="4"/>
  <c r="N20" s="1"/>
  <c r="D26"/>
  <c r="O26"/>
  <c r="K725" i="1"/>
  <c r="K701"/>
  <c r="J732"/>
  <c r="K695"/>
  <c r="K727"/>
  <c r="K693"/>
  <c r="K704"/>
  <c r="F38" i="3"/>
  <c r="N38" s="1"/>
  <c r="J17"/>
  <c r="D98"/>
  <c r="K45"/>
  <c r="K46" s="1"/>
  <c r="J45"/>
  <c r="I45"/>
  <c r="O95"/>
  <c r="L95"/>
  <c r="M95"/>
  <c r="N26" i="4" l="1"/>
  <c r="O59" i="3"/>
  <c r="N59"/>
  <c r="M23"/>
  <c r="N23"/>
  <c r="J23"/>
  <c r="K20"/>
  <c r="I20"/>
  <c r="J20"/>
  <c r="L35"/>
  <c r="N35"/>
  <c r="N44"/>
  <c r="F14"/>
  <c r="N14" s="1"/>
  <c r="F62"/>
  <c r="M62" s="1"/>
  <c r="M60" s="1"/>
  <c r="K23"/>
  <c r="K60"/>
  <c r="L60"/>
  <c r="I60"/>
  <c r="J60"/>
  <c r="M35"/>
  <c r="O35"/>
  <c r="K35"/>
  <c r="M44"/>
  <c r="O44"/>
  <c r="L44"/>
  <c r="K730" i="1"/>
  <c r="K44" i="3"/>
  <c r="J20" i="4"/>
  <c r="K20"/>
  <c r="I20"/>
  <c r="M20"/>
  <c r="L20"/>
  <c r="F26"/>
  <c r="O28" s="1"/>
  <c r="I46" i="3"/>
  <c r="P45"/>
  <c r="Q45" s="1"/>
  <c r="I44"/>
  <c r="J46"/>
  <c r="J44"/>
  <c r="F98"/>
  <c r="K38"/>
  <c r="M38"/>
  <c r="L38"/>
  <c r="O38"/>
  <c r="N28" i="4" l="1"/>
  <c r="N62" i="3"/>
  <c r="O62"/>
  <c r="I14"/>
  <c r="I101" s="1"/>
  <c r="H14"/>
  <c r="J14"/>
  <c r="O14"/>
  <c r="O98"/>
  <c r="N98"/>
  <c r="J59"/>
  <c r="J61"/>
  <c r="I59"/>
  <c r="P60"/>
  <c r="I61"/>
  <c r="L61"/>
  <c r="L59"/>
  <c r="K61"/>
  <c r="K59"/>
  <c r="M61"/>
  <c r="M59"/>
  <c r="G20" i="4"/>
  <c r="G17"/>
  <c r="H28"/>
  <c r="H29" s="1"/>
  <c r="F8"/>
  <c r="G23"/>
  <c r="G14"/>
  <c r="G11"/>
  <c r="L26"/>
  <c r="M26"/>
  <c r="I26"/>
  <c r="K26"/>
  <c r="J26"/>
  <c r="M98" i="3"/>
  <c r="P46"/>
  <c r="J9" i="4" l="1"/>
  <c r="J10" s="1"/>
  <c r="O9"/>
  <c r="O10" s="1"/>
  <c r="N9"/>
  <c r="N10" s="1"/>
  <c r="P61" i="3"/>
  <c r="I9" i="4"/>
  <c r="I10" s="1"/>
  <c r="M9"/>
  <c r="M10" s="1"/>
  <c r="L9"/>
  <c r="L10" s="1"/>
  <c r="G26"/>
  <c r="G8"/>
  <c r="M28"/>
  <c r="L28"/>
  <c r="J28"/>
  <c r="K28"/>
  <c r="K9"/>
  <c r="I27"/>
  <c r="J27" s="1"/>
  <c r="K27" s="1"/>
  <c r="L27" s="1"/>
  <c r="M27" s="1"/>
  <c r="N27" s="1"/>
  <c r="O27" s="1"/>
  <c r="I28"/>
  <c r="I29" s="1"/>
  <c r="J8" l="1"/>
  <c r="N8"/>
  <c r="I8"/>
  <c r="M8"/>
  <c r="L8"/>
  <c r="O8"/>
  <c r="J29"/>
  <c r="K29" s="1"/>
  <c r="L29" s="1"/>
  <c r="M29" s="1"/>
  <c r="K8"/>
  <c r="K10"/>
  <c r="P10" s="1"/>
  <c r="P9"/>
  <c r="Q9" s="1"/>
  <c r="I19" i="1"/>
  <c r="J19"/>
  <c r="N29" i="4" l="1"/>
  <c r="O29" s="1"/>
  <c r="D11" i="3"/>
  <c r="F11" l="1"/>
  <c r="M11" l="1"/>
  <c r="N11"/>
  <c r="O11"/>
  <c r="O101" s="1"/>
  <c r="H11"/>
  <c r="H101" s="1"/>
  <c r="H102" l="1"/>
  <c r="I102" s="1"/>
  <c r="F158" i="1"/>
  <c r="I158" s="1"/>
  <c r="I150" s="1"/>
  <c r="J158" l="1"/>
  <c r="J150" s="1"/>
  <c r="J136" s="1"/>
  <c r="J683" s="1"/>
  <c r="I136"/>
  <c r="I683" l="1"/>
  <c r="J686" s="1"/>
  <c r="J685"/>
  <c r="K671" s="1"/>
  <c r="D32" i="3"/>
  <c r="J687" i="1" l="1"/>
  <c r="D105" i="3"/>
  <c r="D101"/>
  <c r="K27" i="1"/>
  <c r="K638"/>
  <c r="K144"/>
  <c r="K660"/>
  <c r="K212"/>
  <c r="K136"/>
  <c r="K160"/>
  <c r="K137"/>
  <c r="K259"/>
  <c r="K111"/>
  <c r="K186"/>
  <c r="K180"/>
  <c r="K57"/>
  <c r="K197"/>
  <c r="K659"/>
  <c r="K340"/>
  <c r="K11"/>
  <c r="K20"/>
  <c r="K106"/>
  <c r="K39"/>
  <c r="K681"/>
  <c r="K398"/>
  <c r="K105"/>
  <c r="K190"/>
  <c r="K653"/>
  <c r="K341"/>
  <c r="K176"/>
  <c r="K22"/>
  <c r="K528"/>
  <c r="K167"/>
  <c r="K58"/>
  <c r="K577"/>
  <c r="K161"/>
  <c r="K484"/>
  <c r="K446"/>
  <c r="K181"/>
  <c r="K635"/>
  <c r="K87"/>
  <c r="K172"/>
  <c r="K84"/>
  <c r="K315"/>
  <c r="K620"/>
  <c r="K608"/>
  <c r="K67"/>
  <c r="K630"/>
  <c r="K456"/>
  <c r="K520"/>
  <c r="K69"/>
  <c r="K634"/>
  <c r="K66"/>
  <c r="K60"/>
  <c r="K211"/>
  <c r="K19"/>
  <c r="K119"/>
  <c r="K100"/>
  <c r="K82"/>
  <c r="K81"/>
  <c r="K129"/>
  <c r="K298"/>
  <c r="F32" i="3"/>
  <c r="N32" s="1"/>
  <c r="N101" s="1"/>
  <c r="K645" i="1"/>
  <c r="K150"/>
  <c r="K683" l="1"/>
  <c r="J32" i="3"/>
  <c r="J101" s="1"/>
  <c r="F101"/>
  <c r="N103" s="1"/>
  <c r="M32"/>
  <c r="M101" s="1"/>
  <c r="K32"/>
  <c r="K101" s="1"/>
  <c r="L32"/>
  <c r="L101" s="1"/>
  <c r="L103" l="1"/>
  <c r="K103"/>
  <c r="M103"/>
  <c r="G14"/>
  <c r="G8"/>
  <c r="G95"/>
  <c r="G41"/>
  <c r="G56"/>
  <c r="G86"/>
  <c r="G11"/>
  <c r="G44"/>
  <c r="G26"/>
  <c r="G59"/>
  <c r="G29"/>
  <c r="H103"/>
  <c r="H104" s="1"/>
  <c r="G98"/>
  <c r="G17"/>
  <c r="G20"/>
  <c r="G89"/>
  <c r="G38"/>
  <c r="I103"/>
  <c r="G35"/>
  <c r="G23"/>
  <c r="G92"/>
  <c r="O103"/>
  <c r="J102"/>
  <c r="K102" s="1"/>
  <c r="L102" s="1"/>
  <c r="M102" s="1"/>
  <c r="J103"/>
  <c r="G32"/>
  <c r="N102" l="1"/>
  <c r="O102" s="1"/>
  <c r="I104"/>
  <c r="J104" s="1"/>
  <c r="K104" s="1"/>
  <c r="L104" s="1"/>
  <c r="M104" s="1"/>
  <c r="G101"/>
  <c r="N104" l="1"/>
  <c r="O104" s="1"/>
</calcChain>
</file>

<file path=xl/sharedStrings.xml><?xml version="1.0" encoding="utf-8"?>
<sst xmlns="http://schemas.openxmlformats.org/spreadsheetml/2006/main" count="12789" uniqueCount="2734">
  <si>
    <t>PLANILHA ORÇAMENTÁRIA PARA CONSTRUÇÃO DO FÓRUM DA COMARCA DE CORURIPE</t>
  </si>
  <si>
    <r>
      <t xml:space="preserve">OBRA: </t>
    </r>
    <r>
      <rPr>
        <sz val="12"/>
        <color indexed="8"/>
        <rFont val="Arial"/>
        <family val="2"/>
      </rPr>
      <t>CONSTRUÇÃO DO FÓRUM DA COMARCA DE CORURIPE</t>
    </r>
  </si>
  <si>
    <t>BASE: SINAPI - JUNHO-2023 / ORSE - JUNHO-2023</t>
  </si>
  <si>
    <r>
      <t>LOCAL:</t>
    </r>
    <r>
      <rPr>
        <sz val="12"/>
        <color indexed="8"/>
        <rFont val="Arial"/>
        <family val="2"/>
      </rPr>
      <t xml:space="preserve"> AV. LUIZ LIMA BELTRÃO, CJ. COMENDADOR TÉRCIO WANDERLEY, RODOVIA AL 101 SUL</t>
    </r>
  </si>
  <si>
    <t>BDI MATERIAL</t>
  </si>
  <si>
    <t>DATA: JULHO/2023</t>
  </si>
  <si>
    <t>BDI EQUIP.</t>
  </si>
  <si>
    <t>PRAZO DE EXECUÇÃO</t>
  </si>
  <si>
    <t>DIAS CORRIDOS</t>
  </si>
  <si>
    <t>ENCARGOS SOCIAIS</t>
  </si>
  <si>
    <t>NÃO DESONERADOS</t>
  </si>
  <si>
    <t>CÓDIGO</t>
  </si>
  <si>
    <t>BASE</t>
  </si>
  <si>
    <t>ITEM</t>
  </si>
  <si>
    <t>ESPECIFICAÇÃO</t>
  </si>
  <si>
    <t>UNID.</t>
  </si>
  <si>
    <t>QUANT</t>
  </si>
  <si>
    <t xml:space="preserve"> VALOR UNITÁRIO (R$)</t>
  </si>
  <si>
    <t>VALOR UNITARIO (R$)</t>
  </si>
  <si>
    <t xml:space="preserve"> TOTAL (R$)</t>
  </si>
  <si>
    <t>%</t>
  </si>
  <si>
    <t>SINAPI/ORSE</t>
  </si>
  <si>
    <t>COM BDI</t>
  </si>
  <si>
    <t>SEM BDI</t>
  </si>
  <si>
    <t>1.00</t>
  </si>
  <si>
    <t>ADMINISTRAÇÃO LOCAL</t>
  </si>
  <si>
    <t>SINAPI</t>
  </si>
  <si>
    <t>1.01</t>
  </si>
  <si>
    <t>ENGENHEIRO CIVIL DE OBRA JUNIOR COM ENCARGOS COMPLEMENTARES</t>
  </si>
  <si>
    <t xml:space="preserve">H </t>
  </si>
  <si>
    <t>1.02</t>
  </si>
  <si>
    <t>ENGENHEIRO ELETRICISTA COM ENCARGOS COMPLEMENTARES (ELETRICA)</t>
  </si>
  <si>
    <t>1.03</t>
  </si>
  <si>
    <t>MESTRE DE OBRAS COM ENCARGOS COMPLEMENTARES</t>
  </si>
  <si>
    <t>1.04</t>
  </si>
  <si>
    <t>ENCARREGADO GERAL DE OBRAS (HORISTA)</t>
  </si>
  <si>
    <t>1.05</t>
  </si>
  <si>
    <t>ALMOXARIFE COM ENCARGOS COMPLEMENTARES</t>
  </si>
  <si>
    <t>1.06</t>
  </si>
  <si>
    <t>VIGIA NOTURNO COM ENCARGOS COMPLEMENTARES</t>
  </si>
  <si>
    <t>H</t>
  </si>
  <si>
    <t>1.07</t>
  </si>
  <si>
    <t>VIGIA DIURNO COM ENCARGOS COMPLEMENTARES</t>
  </si>
  <si>
    <t>2.00</t>
  </si>
  <si>
    <t>SERVIÇOS PRELIMINARES</t>
  </si>
  <si>
    <t>2.01</t>
  </si>
  <si>
    <t>MOBILIZAÇÃO / DESMOBILIZAÇÃO</t>
  </si>
  <si>
    <t>2.01.01</t>
  </si>
  <si>
    <t>CAMINHÃO TOCO, PBT 14.300 KG, CARGA ÚTIL MÁX. 9.710 KG, DIST. ENTRE EIXOS 3,56 M, POTÊNCIA 185 CV, INCLUSIVE CARROCERIA FIXA ABERTA DE MADEIRA P/ TRANSPORTE GERAL DE CARGA SECA, DIMEN. APROX. 2,50 X 6,50 X 0,50M - CHP DIURNO. AF_06/2014 (TRANSPORTE DO TRANSFORMADOR INCLUSO)</t>
  </si>
  <si>
    <t>CHP</t>
  </si>
  <si>
    <t>2.02</t>
  </si>
  <si>
    <t>SERVIÇOS TÉCNICOS</t>
  </si>
  <si>
    <t>CREA-AL</t>
  </si>
  <si>
    <t>2.02.01</t>
  </si>
  <si>
    <t>ART/RRT DO CONTRATO</t>
  </si>
  <si>
    <t xml:space="preserve">UN </t>
  </si>
  <si>
    <t>2.02.02</t>
  </si>
  <si>
    <t>ART/RRT DO TRANSFORMADOR</t>
  </si>
  <si>
    <t xml:space="preserve">PREFEITURA </t>
  </si>
  <si>
    <t>2.02.03</t>
  </si>
  <si>
    <t>ALVARÁ PARA CONSTRUÇÃO</t>
  </si>
  <si>
    <t>M²</t>
  </si>
  <si>
    <t>CBM/AL</t>
  </si>
  <si>
    <t>2.02.04</t>
  </si>
  <si>
    <t xml:space="preserve">HABITE-SE </t>
  </si>
  <si>
    <t>2.03</t>
  </si>
  <si>
    <t>SERVIÇOS INICIAIS</t>
  </si>
  <si>
    <t>ORSE</t>
  </si>
  <si>
    <t>2.03.01</t>
  </si>
  <si>
    <t>INSTALAÇÃO PROVISÓRIA DE ENERGIA ELÉTRICA, AEREA, TRIFASICA, EM POSTE GALVANIZADO, EXCLUSIVE FORNECIMENTO DO MEDIDOR</t>
  </si>
  <si>
    <t>2.03.02</t>
  </si>
  <si>
    <t>LIGAÇÃO PREDIAL DE ÁGUA EM MURETA DE CONCRETO, PROVISÓRIA OU DEFINITIVA, COM FORNECIMENTO DE MATERIAL, INCLUSIVE MURETA E HIDRÔMETRO, REDE DN 50MM - REV 03_10/2022</t>
  </si>
  <si>
    <t>2.03.03</t>
  </si>
  <si>
    <t>PLACA DE OBRA EM LONA COM IMPRESSÃO DIGITAL 1,50 X 2,00M, INCLUSIVE ESTRUTURA EM METALON 20 X 20CM E ESCORAMENTO, INSTALADA</t>
  </si>
  <si>
    <t>2.03.04</t>
  </si>
  <si>
    <t>DESMATAMENTO, DESTOCAMENTO E LIMPEZA MECANIZADA DE TERRENO C/ÁRVORES DE DIÂM. ATÉ 0,15M</t>
  </si>
  <si>
    <t>2.03.05</t>
  </si>
  <si>
    <t>TAPUME COM TELHA METÁLICA. AF_05/2018</t>
  </si>
  <si>
    <t>2.03.06</t>
  </si>
  <si>
    <t>LOCAÇÃO DE CONTAINER - ESCRITÓRIO COM BANHEIRO - 6,20 X 2,40M - REV 02_02/2022</t>
  </si>
  <si>
    <t>MÊS</t>
  </si>
  <si>
    <t>2.03.07</t>
  </si>
  <si>
    <t>BARRACÃO ABERTO PARA REFEITÓRIO DE OBRA (CAPACIDADE 24 REFEIÇÕES SIMULTÂNEAS)-S=61,60M² COM MATERIAIS NOVOS</t>
  </si>
  <si>
    <t>2.03.08</t>
  </si>
  <si>
    <t>LOCAÇÃO DE CONTAINER - ALMOXARIFADO SEM BANHEIRO - 6,00 X 2,40M - REV 02_02/2022</t>
  </si>
  <si>
    <t>2.03.09</t>
  </si>
  <si>
    <t>LOCAÇÃO DE CONTAINER - BANHEIRO COM CHUVEIROS E VASOS - 4,30 X 2,30M</t>
  </si>
  <si>
    <t>2.03.10</t>
  </si>
  <si>
    <t>TRANSPORTE COM CAMINHÃO CARROCERIA 9T, EM VIA URBANA PAVIMENTADA, DMT ATÉ 30KM (UNIDADE: TXKM). AF_07/2020</t>
  </si>
  <si>
    <t>TXKM</t>
  </si>
  <si>
    <t>2.03.11</t>
  </si>
  <si>
    <t>TRANSPORTE COM CAMINHÃO CARROCERIA 9T, EM VIA URBANA PAVIMENTADA, ADICIONAL PARA DMT EXCEDENTE A 30 KM (UNIDADE: TXKM). AF_07/2020</t>
  </si>
  <si>
    <t>2.04</t>
  </si>
  <si>
    <t>DEMOLIÇÃO E RETIRADA</t>
  </si>
  <si>
    <t>2.04.01</t>
  </si>
  <si>
    <t>DESTOCAMENTO DE ÁRVORES DE PORTE MÉDIO E RAÍZES PROFUNDAS, SEM AUXÍLIO MECÂNICO</t>
  </si>
  <si>
    <t>UN</t>
  </si>
  <si>
    <t>2.04.02</t>
  </si>
  <si>
    <t>REMOÇÃO DE RAÍZES REMANESCENTES DE TRONCO DE ÁRVORE COM DIÂMETRO MAIOR OU IGUAL A 0,60 M.AF_05/2018</t>
  </si>
  <si>
    <t>2.04.03</t>
  </si>
  <si>
    <t>DEMOLIÇÃO DE PISO DE ALTA RESISTÊNCIA</t>
  </si>
  <si>
    <t>2.04.04</t>
  </si>
  <si>
    <t>DEMOLIÇÃO DE PAVIMENTAÇÃO EM PARALELEPÍPEDO SEM REAPROVEITAMENTO</t>
  </si>
  <si>
    <t>2.04.05</t>
  </si>
  <si>
    <t>REMOÇÃO DE TELHAS DE FIBROCIMENTO, METÁLICA E CERÂMICA, DE FORMA MECANIZADA, COM USO DE GUINDASTE, SEM REAPROVEITAMENTO. AF_12/2017</t>
  </si>
  <si>
    <t>2.04.06</t>
  </si>
  <si>
    <t>DEMOLIÇÃO DE MADEIRAMENTO EM COBERTURAS COM TELHAS DE FIBRO-CIMENTO 4 A 8 MM</t>
  </si>
  <si>
    <t>2.04.07</t>
  </si>
  <si>
    <t>DEMOLIÇÃO DE LAJES, DE FORMA MECANIZADA COM MARTELETE, SEM REAPROVEITAMENTO. AF_12/2017</t>
  </si>
  <si>
    <t>M³</t>
  </si>
  <si>
    <t>2.04.08</t>
  </si>
  <si>
    <t>DEMOLIÇÃO DE PILARES E VIGAS EM CONCRETO ARMADO, DE FORMA MECANIZADA COM MARTELETE, SEM REAPROVEITAMENTO. AF_12/2017</t>
  </si>
  <si>
    <t>2.04.09</t>
  </si>
  <si>
    <t>DEMOLIÇÃO DE ALVENARIA PARA QUALQUER TIPO DE BLOCO, DE FORMA MECANIZADA, SEM REAPROVEITAMENTO. AF_12/2017</t>
  </si>
  <si>
    <t>2.04.10</t>
  </si>
  <si>
    <t>CARGA, MANOBRA E DESCARGA DE ENTULHO EM CAMINHÃO BASCULANTE 14 M³ - CARGA COM ESCAVADEIRA HIDRÁULICA (CAÇAMBA DE 0,80 M³ / 111 HP) E DESCARGA LIVRE (UNIDADE: M3). AF_07/2020</t>
  </si>
  <si>
    <t>2.04.11</t>
  </si>
  <si>
    <t>COLETA E CARGA MANUAIS DE ENTULHO</t>
  </si>
  <si>
    <t>2.04.12</t>
  </si>
  <si>
    <t>TRANSPORTE COM CAMINHÃO BASCULANTE DE 14 M³, EM VIA URBANA PAVIMENTADA, DMT ATÉ 30 KM (UNIDADE: M3XKM). AF_07/2020</t>
  </si>
  <si>
    <t>M³XKM</t>
  </si>
  <si>
    <t>2.04.13</t>
  </si>
  <si>
    <t>TRANSPORTE COM CAMINHÃO BASCULANTE DE 14 M³, EM VIA URBANA PAVIMENTADA, ADICIONAL PARA DMT EXCEDENTE A 30 KM (UNIDADE: M3XKM). AF_07/2020</t>
  </si>
  <si>
    <t>2.04.14</t>
  </si>
  <si>
    <t>DESMONTAGEM DE ESTRUTURA METÁLICA COM RETIRADA DE SOLDA E CORTE DE PEÇAS POR MEIO DE LIXADEIRA</t>
  </si>
  <si>
    <t>2.04.15</t>
  </si>
  <si>
    <t>REMOÇÃO DE ESQUADRIA DE MADEIRA, COM OU SEM BATENTE</t>
  </si>
  <si>
    <t>2.04.16</t>
  </si>
  <si>
    <t>REMOÇÃO DE ESQUADRIA DE ALUMÍNIO E VIDRO REV. 01 - 03/2022</t>
  </si>
  <si>
    <t>2.04.17</t>
  </si>
  <si>
    <t>REMOÇÃO DE ESQUADRIA METÁLICA, COM OU SEM REAPROVEITAMENTO REV. 01 - 03/2022</t>
  </si>
  <si>
    <t>3.00</t>
  </si>
  <si>
    <t>MOVIMENTO DE TERRA E ESCAVAÇÕES</t>
  </si>
  <si>
    <t>3.01</t>
  </si>
  <si>
    <t>ESCAVAÇÕES</t>
  </si>
  <si>
    <t>3.01.01</t>
  </si>
  <si>
    <t>ESCAVAÇÃO MANUAL DE VALA OU CAVA EM MATERIAL DE 1ª CATEGORIA, PROFUNDIDADE ATÉ 1,50M</t>
  </si>
  <si>
    <t>3.02</t>
  </si>
  <si>
    <t>CORTE, ATERRO E REATERRO</t>
  </si>
  <si>
    <t>3.02.01</t>
  </si>
  <si>
    <t>REATERRO MANUAL APILOADO COM SOQUETE. AF_10/2017</t>
  </si>
  <si>
    <t>3.02.02</t>
  </si>
  <si>
    <r>
      <rPr>
        <sz val="11"/>
        <color rgb="FF000000"/>
        <rFont val="Arial"/>
      </rPr>
      <t xml:space="preserve">ESCAVAÇÃO COM RETRO-ESCAVADEIRA DE PNEUS, DE VALAS, EM MATERIAL DE 2ª CATEGORIA ATÉ 1,50M DE PROFUNDIDADE - </t>
    </r>
    <r>
      <rPr>
        <b/>
        <sz val="11"/>
        <color rgb="FF000000"/>
        <rFont val="Arial"/>
      </rPr>
      <t>CORTE</t>
    </r>
  </si>
  <si>
    <t xml:space="preserve">
Escavação com retro-escavadeira de pneus, de valas, em material de 2ª categoria até 1,50m de profundidade</t>
  </si>
  <si>
    <t>3.02.03</t>
  </si>
  <si>
    <t>ATERRO DE CAIXÃO DE EDIIFICAÇÃO, COM FORNEC. DE AREIA, ADENSADA COM ÁGUA</t>
  </si>
  <si>
    <t>3.02.04</t>
  </si>
  <si>
    <t>COMPACTAÇÃO MANUAL COM COMPACTADOR A PERCUSSÃO SAPINHO, SEM CONTROLE DO GRAU DE COMPACTAÇÃO</t>
  </si>
  <si>
    <t>3.02.05</t>
  </si>
  <si>
    <t>TRANSPORTE COM CAMINHÃO BASCULANTE DE 18 M³, EM VIA URBANA EM REVESTIMENTO PRIMÁRIO (UNIDADE: M3XKM). AF_07/2020</t>
  </si>
  <si>
    <t>4.00</t>
  </si>
  <si>
    <t>INFRA-ESTRUTURA E FUNDAÇÕES</t>
  </si>
  <si>
    <t>4.01</t>
  </si>
  <si>
    <t>PREPARO DO TERRENO</t>
  </si>
  <si>
    <t>4.01.01</t>
  </si>
  <si>
    <t>LOCAÇÃO DE CONSTRUÇÃO DE EDIFICAÇÃO ACIMA DE 1000 M2, INCLUSIVE EXECUÇÃO DE GABARITO DE MADEIRA</t>
  </si>
  <si>
    <t>4.02</t>
  </si>
  <si>
    <t>FUNDAÇÕES DIRETAS</t>
  </si>
  <si>
    <t>4.02.01</t>
  </si>
  <si>
    <t>ALVENARIA DE EMBASAMENTO COM BLOCO ESTRUTURAL DE CERÂMICA, DE 14X19X29 CM E ARGAMASSA DE ASSENTAMENTO COM PREPARO EM BETONEIRA. AF_05/2020</t>
  </si>
  <si>
    <t>4.02.02</t>
  </si>
  <si>
    <t>CONCRETO MAGRO PARA LASTRO, TRAÇO 1:4,5:4,5 (EM MASSA SECA DE CIMENTO/AREIA MÉDIA/ BRITA 1) - PREPARO MECÂNICO COM BETONEIRA 400 L. AF_05/2021</t>
  </si>
  <si>
    <t>4.02.03</t>
  </si>
  <si>
    <r>
      <rPr>
        <sz val="11"/>
        <color rgb="FF000000"/>
        <rFont val="Arial"/>
      </rPr>
      <t xml:space="preserve">CONCRETO SIMPLES USINADO FCK=35MPA, BOMBEADO, LANÇADO E ADENSADO NA INFRAESTRUTURA - </t>
    </r>
    <r>
      <rPr>
        <b/>
        <sz val="11"/>
        <color rgb="FF000000"/>
        <rFont val="Arial"/>
      </rPr>
      <t>CINTA</t>
    </r>
  </si>
  <si>
    <t>4.02.04</t>
  </si>
  <si>
    <r>
      <rPr>
        <sz val="11"/>
        <color rgb="FF000000"/>
        <rFont val="Arial"/>
      </rPr>
      <t>CONCRETO SIMPLES USINADO FCK=35MPA, BOMBEADO, LANÇADO E ADENSADO NA INFRAESTRUTURA</t>
    </r>
    <r>
      <rPr>
        <b/>
        <sz val="11"/>
        <color rgb="FF000000"/>
        <rFont val="Arial"/>
      </rPr>
      <t xml:space="preserve"> - FUNDAÇÕES</t>
    </r>
  </si>
  <si>
    <t>4.02.05</t>
  </si>
  <si>
    <t>FORMA PLANA PARA ESTRUTURAS, EM COMPENSADO PLASTIFICADO DE 10MM, 02 USOS, INCLUSIVE ESCORAMENTO - REVISADA 07.2015</t>
  </si>
  <si>
    <t>4.02.06</t>
  </si>
  <si>
    <t>ARMAÇÃO DE BLOCO, VIGA BALDRAME E SAPATA UTILIZANDO AÇO CA-60 DE 5,0 MM MONTAGEM. AF_06/2017</t>
  </si>
  <si>
    <t>KG</t>
  </si>
  <si>
    <t>4.02.07</t>
  </si>
  <si>
    <t>ARMAÇÃO DE BLOCO, VIGA BALDRAME OU SAPATA UTILIZANDO AÇO CA-50 DE 6,3MM - MONTAGEM. AF_12/2015</t>
  </si>
  <si>
    <t>4.02.08</t>
  </si>
  <si>
    <t>ARMAÇÃO DE BLOCO, VIGA BALDRAME OU SAPATA UTILIZANDO AÇO CA-50 DE 8 MM - MONTAGEM. AF_06/2017</t>
  </si>
  <si>
    <t>4.02.09</t>
  </si>
  <si>
    <t>ARMAÇÃO DE BLOCO, VIGA BALDRAME OU SAPATA UTILIZANDO AÇO CA-50 DE 10 MM - MONTAGEM. AF_06/2017</t>
  </si>
  <si>
    <t>4.02.10</t>
  </si>
  <si>
    <t>ARMAÇÃO DE BLOCO, VIGA BALDRAME OU SAPATA UTILIZANDO AÇO CA-50 DE 12,5MM - MONTAGEM. AF_12/2015</t>
  </si>
  <si>
    <t>4.02.11</t>
  </si>
  <si>
    <t>ARMAÇÃO DE BLOCO, VIGA BALDRAME OU SAPATA UTILIZANDO AÇO CA-50 DE 16 MM - MONTAGEM. AF_06/2017</t>
  </si>
  <si>
    <t>5.00</t>
  </si>
  <si>
    <t>SUPRA-ESTRUTURA</t>
  </si>
  <si>
    <t>5.01</t>
  </si>
  <si>
    <t>CONCRETO</t>
  </si>
  <si>
    <t>5.01.01</t>
  </si>
  <si>
    <t>CONCRETO SIMPLES USINADO FCK=35MPA, BOMBEADO, LANÇADO E ADENSADO EM SUPERESTRUTURA</t>
  </si>
  <si>
    <t>5.02</t>
  </si>
  <si>
    <t>FORMA</t>
  </si>
  <si>
    <t>5.02.01</t>
  </si>
  <si>
    <t>5.02.02</t>
  </si>
  <si>
    <t>MONTAGEM E DESMONTAGEM DE FÔRMA DE LAJE MACIÇA, PÉ-DIREITO SIMPLES, EM CHAPA DE MADEIRA COMPENSADA RESINADA E CIMBRAMENTO DE MADEIRA, 4 UTILIZAÇÕES. AF_03/2022</t>
  </si>
  <si>
    <t>5.03</t>
  </si>
  <si>
    <t>ARMAÇÃO</t>
  </si>
  <si>
    <t>5.03.01</t>
  </si>
  <si>
    <t>ARMAÇÃO DE PILAR OU VIGA DE ESTRUTURA CONVENCIONAL DE CONCRETO ARMADO UTILIZANDO AÇO CA-60 DE 5,0 MM - MONTAGEM. AF_06/2022</t>
  </si>
  <si>
    <t>5.03.02</t>
  </si>
  <si>
    <t>ARMAÇÃO DE PILAR OU VIGA DE ESTRUTURA CONVENCIONAL DE CONCRETO ARMADO UTILIZANDO AÇO CA-50 DE 6,3 MM - MONTAGEM. AF_06/2022</t>
  </si>
  <si>
    <t>5.03.03</t>
  </si>
  <si>
    <t>ARMAÇÃO DE PILAR OU VIGA DE ESTRUTURA CONVENCIONAL DE CONCRETO ARMADO UTILIZANDO AÇO CA-50 DE 8,0 MM - MONTAGEM. AF_06/2022</t>
  </si>
  <si>
    <t>5.03.04</t>
  </si>
  <si>
    <t>ARMAÇÃO DE PILAR OU VIGA DE ESTRUTURA CONVENCIONAL DE CONCRETO ARMADO UTILIZANDO AÇO CA-50 DE 10,0 MM - MONTAGEM. AF_06/2022</t>
  </si>
  <si>
    <t>5.03.05</t>
  </si>
  <si>
    <t>ARMAÇÃO DE PILAR OU VIGA DE ESTRUTURA CONVENCIONAL DE CONCRETO ARMADO UTILIZANDO AÇO CA-50 DE 12,5 MM - MONTAGEM. AF_06/2022</t>
  </si>
  <si>
    <t>5.03.06</t>
  </si>
  <si>
    <t>ARMAÇÃO DE PILAR OU VIGA DE ESTRUTURA CONVENCIONAL DE CONCRETO ARMADO UTILIZANDO AÇO CA-50 DE 16,0 MM - MONTAGEM. AF_06/2022</t>
  </si>
  <si>
    <t>5.03.07</t>
  </si>
  <si>
    <t>ARMAÇÃO DE PILAR OU VIGA DE UMA ESTRUTURA CONVENCIONAL DE CONCRETO ARMADO EM UMA EDIFICAÇÃO TÉRREA OU SOBRADO UTILIZANDO AÇO CA-50 DE 20.0 MM - MONTAGEM. AF_12/2015</t>
  </si>
  <si>
    <t>5.03.08</t>
  </si>
  <si>
    <t>ARMAÇÃO DE PILAR OU VIGA DE ESTRUTURA CONVENCIONAL DE CONCRETO ARMADO UTILIZANDO AÇO CA-50 DE 25,0 MM - MONTAGEM. AF_06/2022</t>
  </si>
  <si>
    <t>5.03.09</t>
  </si>
  <si>
    <t>ARMAÇÃO DE LAJE DE ESTRUTURA CONVENCIONAL DE CONCRETO ARMADO UTILIZANDO AÇO CA-60 DE 4,2 MM - MONTAGEM. AF_06/2022</t>
  </si>
  <si>
    <t>5.03.10</t>
  </si>
  <si>
    <t>ARMAÇÃO DE ESTRUTURAS DIVERSAS DE CONCRETO ARMADO, EXCETO VIGAS, PILARES, LAJES E FUNDAÇÕES, UTILIZANDO AÇO CA-50 DE 6,3 MM - MONTAGEM. AF_06/2022</t>
  </si>
  <si>
    <t>5.03.11</t>
  </si>
  <si>
    <t>"	FORNECIMENTO E INSTALAÇÃO DE TELA AÇO SOLDADA NERVURADA CA-60, Q-92, MALHA 15X15CM, FERRO 4.2MM (1.48 KG/M2), PAINEL 2,45X6,0M, TELCON OU SIMILAR"</t>
  </si>
  <si>
    <t>5.03.12</t>
  </si>
  <si>
    <t>ESTRUTURA DE CONCRETO PROTENDIDO</t>
  </si>
  <si>
    <t>VB</t>
  </si>
  <si>
    <t>5.04</t>
  </si>
  <si>
    <t>COMPLEMENTOS</t>
  </si>
  <si>
    <t>5.04.01</t>
  </si>
  <si>
    <t>LAJE PRÉ-FABRICADA TRELIÇADA PARA PISO OU COBERTURA, INTEREIXO 38CM, H=12CM, EL. ENCHIMENTO EM EPS H=8CM, INCLUSIVE ESCORAMENTO EM MADEIRA E CAPEAMENTO 4CM.</t>
  </si>
  <si>
    <t xml:space="preserve">
Controle tecnológico de concreto "com" moldagem de corpos de prova, distancia 61 a 100 km</t>
  </si>
  <si>
    <t>5.04.02</t>
  </si>
  <si>
    <t>CONTROLE TECNOLÓGICO DE CONCRETO ""COM"" MOLDAGEM DE CORPOS DE PROVA, DISTANCIA 61 A 100 KM</t>
  </si>
  <si>
    <t>DIA</t>
  </si>
  <si>
    <t>5.04.03</t>
  </si>
  <si>
    <t>MICROCONCRETO FLUIDO (AUTOADENSÁVEL) C/ GROUT ATÉ 50% DE PÓ DE PEDRA (PEDRISCO - BRITA 0) LANÇAMENTO E CURA</t>
  </si>
  <si>
    <t>5.04.04</t>
  </si>
  <si>
    <t>ALVENARIA BLOCO CONCRETO ESTRUTURAL 14X19X39CM, FBK ATÉ 6 MPA, ESP = 0,14M, GROUTEADA FCK 21MPA, ARMADA VERT. 3/8" C/13, HOR. 5/16" C/20</t>
  </si>
  <si>
    <t>6.00</t>
  </si>
  <si>
    <t>PAREDES E PAINEIS</t>
  </si>
  <si>
    <t>6.01</t>
  </si>
  <si>
    <t>FECHAMENTOS</t>
  </si>
  <si>
    <t>6.01.01</t>
  </si>
  <si>
    <t>ALVENARIA DE VEDAÇÃO DE BLOCOS CERÂMICOS FURADOS NA HORIZONTAL DE 9X19X19 CM (ESPESSURA 9 CM) E ARGAMASSA DE ASSENTAMENTO COM PREPARO EM BETONEIRA. AF_12/2021</t>
  </si>
  <si>
    <t>6.01.02</t>
  </si>
  <si>
    <t>ALVENARIA DE VEDAÇÃO COM ELEMENTO VAZADO DE CONCRETO (COBOGÓ) DE 7X50X50CM E ARGAMASSA DE ASSENTAMENTO COM PREPARO EM BETONEIRA. AF_05/2020</t>
  </si>
  <si>
    <t>6.01.03</t>
  </si>
  <si>
    <t>MURO EM ALVENARIA BLOCO CERÂMICO, E=0,09M, C/ALV DE PEDRA (35X60CM), PILARES (9X20CM) A CADA 3,0M, CINTAS INFERIOR E SUPERIOR (9X15CM) EM CONCRETO ARMADO FCK=15,0 MPA, C/CHAPISCO, REBOCO E PINT. HIDRACOR SOBRE ALVENARIA, C/CINTAS E PILARES APARENTES.</t>
  </si>
  <si>
    <t>6.01.04</t>
  </si>
  <si>
    <t>DIVISORIA NAVAL (PAINEL CEGO), E=40MM, COM PERFIS EM AÇO - FORNECIMENTO E APLICAÇÃO</t>
  </si>
  <si>
    <t>6.02</t>
  </si>
  <si>
    <t>6.02.01</t>
  </si>
  <si>
    <t>VERGA PRÉ-MOLDADA PARA PORTAS COM ATÉ 1,5 M DE VÃO. AF_03/2016</t>
  </si>
  <si>
    <t>M</t>
  </si>
  <si>
    <t>6.02.02</t>
  </si>
  <si>
    <t>VERGA PRÉ-MOLDADA PARA PORTAS COM MAIS DE 1,5 M DE VÃO. AF_03/2016</t>
  </si>
  <si>
    <t>6.02.03</t>
  </si>
  <si>
    <t>CONTRAVERGA PRÉ-MOLDADA PARA VÃOS DE ATÉ 1,5 M DE COMPRIMENTO. AF_03/2016</t>
  </si>
  <si>
    <t>6.02.04</t>
  </si>
  <si>
    <t>CONTRAVERGA PRÉ-MOLDADA PARA VÃOS DE MAIS DE 1,5 M DE COMPRIMENTO. AF_03/2016</t>
  </si>
  <si>
    <t>6.02.05</t>
  </si>
  <si>
    <t>6.02.06</t>
  </si>
  <si>
    <t>FIXAÇÃO (ENCUNHAMENTO) DE ALVENARIA DE VEDAÇÃO COM ESPUMA DE POLIURETANO EXPANSIVA. AF_03/2016</t>
  </si>
  <si>
    <t>7.00</t>
  </si>
  <si>
    <t>COBERTA</t>
  </si>
  <si>
    <t>7.01</t>
  </si>
  <si>
    <t>TELHAMENTO COM TELHA EM AÇO GALVALUME, DUPLA, TRAPEZOIDAL, COM PREENCHIMENTO PIR 20MM, PRÉ-PINTADA, TP40 - 2 X 0,43MM, KINGSPAN- ISOESTE OU SIMILAR</t>
  </si>
  <si>
    <t>7.02</t>
  </si>
  <si>
    <t>ESTRUTURA METÁLICA P/ COBERTURA C/VIGAS-TRELIÇA PRATT UDC75 E TERÇAS EM UDC 127, 2 ÁGUAS, SEM LANTERNIN, VÃOS 6,0 A 10,0M, PINTADO 1 D OXIDO FERRO + 2 D ESMALTE EPÓXI BRANCO, EXCETO FORN. TELHAS - EXECUTADA</t>
  </si>
  <si>
    <t>7.03</t>
  </si>
  <si>
    <t>RUFO EM FIBROCIMENTO PARA TELHA ONDULADA E = 6 MM, ABA DE 26 CM, INCLUSO TRANSPORTE VERTICAL, EXCETO CONTRARRUFO. AF_07/2019</t>
  </si>
  <si>
    <t>7.04</t>
  </si>
  <si>
    <t>CHAPIM DE GRANITO CINZA ANDORINHA, C/ LARGURA = 22 CM, ESP. = 2 CM</t>
  </si>
  <si>
    <t>7.05</t>
  </si>
  <si>
    <t>CHAPIM DE CONCRETO PRÉ-MOLDADO</t>
  </si>
  <si>
    <t>7.06</t>
  </si>
  <si>
    <t>FURO EM CONCRETO PARA DIÂMETROS MAIORES QUE 75 MM. AF_05/2015</t>
  </si>
  <si>
    <t>7.07</t>
  </si>
  <si>
    <t>7.08</t>
  </si>
  <si>
    <t>TELHAMENTO COM TELHA TRANSLÚCIDA EM FIBRA DE VIDRO, ONDULADA, 2,44 X 0,50 M, ESP=6MM, FORTLEV OU SIMILAR</t>
  </si>
  <si>
    <t>7.09</t>
  </si>
  <si>
    <t>MADEIRAMENTO EM MASSARANDUBA/MADEIRA DE LEI, ACABAMENTO SERRADO C/ RIPÃO 5,5 X 3,5CM E RIPA 4 X 1,5CM, EXCLUSIVE PEÇAS PRINCIPAIS</t>
  </si>
  <si>
    <t>8.00</t>
  </si>
  <si>
    <t>IMPERMEABILIZAÇÃO</t>
  </si>
  <si>
    <t>8.01</t>
  </si>
  <si>
    <t>IMPERMEABILIZAÇÃO DE ALICERCE E VIGA BALDRAME COM 2 DEMÃOS DE TINTA ASFÁLTICA TIPO NEUTROL DA VEDACIT OU SIMILAR, EXCETO ARGAMASSA IMPERMEABILIZAÇÃO</t>
  </si>
  <si>
    <t>8.02</t>
  </si>
  <si>
    <t>PISO CIMENTADO LISO TRAÇO 1:5, E = 1,5 CM</t>
  </si>
  <si>
    <t>8.03</t>
  </si>
  <si>
    <t>IMPERMEABILIZAÇÃO COM ARGAMASSA POLIMÉRICA (3 DEMÃOS) TIPO DENVERTEC 100 E APLICAÇÃO DE TELA DE POLIÉSTER RESINADA, MALHA 2X2MM, REF.: DENVERTELA POLIÉSTER R OU SIMILAR (RESERVATÓRIO SUPERIOR E INFERIOR)</t>
  </si>
  <si>
    <t>8.04</t>
  </si>
  <si>
    <t>IMPERMEABILIZAÇÃO DE SUPERFÍCIE COM MANTA ASFÁLTICA, UMA CAMADA, INCLUSIVE APLICAÇÃO DE PRIMER ASFÁLTICO, E=3MM. AF_06/2018</t>
  </si>
  <si>
    <t>8.05</t>
  </si>
  <si>
    <t>PROTEÇÃO MECÂNICA DE SUPERFICIE HORIZONTAL COM ARGAMASSA DE CIMENTO E AREIA, TRAÇO 1:3, E=4CM. AF_06/2018</t>
  </si>
  <si>
    <t>8.06</t>
  </si>
  <si>
    <t>PROTEÇÃO MECÂNICA DE SUPERFÍCIE VERTICAL COM ARGAMASSA DE CIMENTO E AREIA, TRAÇO 1:3, E=2CM. AF_06/2018</t>
  </si>
  <si>
    <t>9.00</t>
  </si>
  <si>
    <t>ESQUADRIAS E FERRAGENS</t>
  </si>
  <si>
    <t>9.01</t>
  </si>
  <si>
    <t>DE MADEIRA</t>
  </si>
  <si>
    <t>9.01.01</t>
  </si>
  <si>
    <t>PORTA EM MADEIRA COMPENSADA (CANELA), LISA, SEMI-ÔCA, 0.80 X 2.10 M, REVESTIDA C/FÓRMICA, INCLUSIVE BATENTES E FERRAGENS</t>
  </si>
  <si>
    <t>9.01.02</t>
  </si>
  <si>
    <t>9.01.03</t>
  </si>
  <si>
    <t>9.01.04</t>
  </si>
  <si>
    <t>PORTA EM MADEIRA COMPENSADA (CANELA), LISA, SEMI-ÔCA, 1,60 X 2,10 M, 2 FOLHAS, TIPO VAI-VEM, INCLUSIVE BATENTES E FERRAGENS, EXCETO VIDROS</t>
  </si>
  <si>
    <t>9.01.05</t>
  </si>
  <si>
    <t>PORTA EM MADEIRA COMPENSADA (CANELA), LISA, SEMI-ÔCA, (0.60 X 1,60 A 2.10 M), REVESTIDA C/FÓRMICA, INCLUSIVE FERRAGENS (LIVRE/OCUPADO), PARA USO EM DIVISÓRIAS GRANITO OU MÁRMORE</t>
  </si>
  <si>
    <t>9.01.06</t>
  </si>
  <si>
    <r>
      <rPr>
        <sz val="11"/>
        <color rgb="FF000000"/>
        <rFont val="Arial"/>
      </rPr>
      <t xml:space="preserve">PINTURA DE ACABAMENTO COM LIXAMENTO E APLICAÇÃO DE 02 DEMÃOS DE ESMALTE SINTÉTICO SOBRE MADEIRA - R1 - </t>
    </r>
    <r>
      <rPr>
        <b/>
        <sz val="11"/>
        <color rgb="FF000000"/>
        <rFont val="Arial"/>
      </rPr>
      <t>COR BRONZE PALM SPRINGS</t>
    </r>
  </si>
  <si>
    <t>9.02</t>
  </si>
  <si>
    <t>ESQUADRIAS DE ALUMÍNIO</t>
  </si>
  <si>
    <t>9.02.01</t>
  </si>
  <si>
    <t>FORNECIMENTO E INSTALAÇÃO DE ESQUADRIAS DE ALUMINIO ANODIZADO NA COR BRONZE, INCLUSIVE VIDROS, FECHOS, FECHADURAS E TODOS ACESSÓRIOS DE INSTALAÇÃO</t>
  </si>
  <si>
    <t>9.02.02</t>
  </si>
  <si>
    <t>PORTA EM ALUMÍNIO, COR N/P/B, MOLDURA-VIDRO,COMPLETA, INCLUSIVE CAIXILHOS, DOBRADIÇAS OU ROLDANAS E FECHADURA, EXCLUSIVE VIDRO</t>
  </si>
  <si>
    <t>9.02.03</t>
  </si>
  <si>
    <t>INSTALAÇÃO DE VIDRO LISO INCOLOR, E = 4 MM, EM ESQUADRIA DE ALUMÍNIO OU PVC, FIXADO COM BAGUETE. AF_01/2021_PS</t>
  </si>
  <si>
    <t>9.02.04</t>
  </si>
  <si>
    <t>GUARDA-CORPO PANORÂMICO COM PERFIS DE ALUMÍNIO E VIDRO LAMINADO 8 MM, FIXADO COM CHUMBADOR MECÂNICO. AF_04/2019_PS</t>
  </si>
  <si>
    <t>9.02.05</t>
  </si>
  <si>
    <t>BRISE EM PERFIL "C" DE ALUMÍNIO DOBRADO ANODIZADO BRANCO</t>
  </si>
  <si>
    <t>9.03</t>
  </si>
  <si>
    <t xml:space="preserve">ESQUADRIAS DE FERRO </t>
  </si>
  <si>
    <t>9.03.01</t>
  </si>
  <si>
    <t>9.03.02</t>
  </si>
  <si>
    <t>PORTA DE FERRO, DE ABRIR, TIPO GRADE COM CHAPA, COM GUARNIÇÕES. AF_12/ 2019</t>
  </si>
  <si>
    <t>9.03.03</t>
  </si>
  <si>
    <t>9.03.04</t>
  </si>
  <si>
    <t>9.03.05</t>
  </si>
  <si>
    <t>GRADIL NYLOFOR 3D, MALHA 20X5CM, Ø 5MM 250X103 CM, PINTURA BRANCA, BELGO OU SIMILAR, INCLUSIVE POSTES E ACESSÓRIOS</t>
  </si>
  <si>
    <t>Kit de automatização de portão, incluso: ferragens (viga U, roldanas com pino, cabo de aço, chapa e montante, etc.) e motor PPA 1/4 CV - 220V</t>
  </si>
  <si>
    <t>9.03.06</t>
  </si>
  <si>
    <t>PORTÃO EM ALUMÍNIO, COR N/B/P, EM PERFÍS BÚZIO QUADRADO OU LAMBRIL, COMPLETO INCLUSIVE RODÍZIOS, PERFÍS E FECHADURA</t>
  </si>
  <si>
    <t>I-1276</t>
  </si>
  <si>
    <t>9.03.07</t>
  </si>
  <si>
    <t>KIT DE AUTOMATIZAÇÃO DE PORTÃO, INCLUSO: FERRAGENS (VIGA U, ROLDANAS COM PINO, CABO DE AÇO, CHAPA E MONTANTE, ETC.) E MOTOR PPA 1/4 CV - 220V</t>
  </si>
  <si>
    <t>9.03.08</t>
  </si>
  <si>
    <t>9.03.09</t>
  </si>
  <si>
    <t>PINTURA COM TINTA ALQUÍDICA DE ACABAMENTO (ESMALTE SINTÉTICO ACETINADO) APLICADA A ROLO OU PINCEL SOBRE SUPERFÍCIES METÁLICAS (EXCETO PERFIL) EXECUTADO EM OBRA (02 DEMÃOS). AF_01/2020</t>
  </si>
  <si>
    <t>10.00</t>
  </si>
  <si>
    <t>REVESTIMENTOS - PAREDES E TETOS</t>
  </si>
  <si>
    <t>10.01</t>
  </si>
  <si>
    <t>DE ARGAMASSAS</t>
  </si>
  <si>
    <t>10.01.01</t>
  </si>
  <si>
    <t>CHAPISCO APLICADO EM ALVENARIAS E ESTRUTURAS DE CONCRETO INTERNAS, COM COLHER DE PEDREIRO. ARGAMASSA TRAÇO 1:3 COM PREPARO MANUAL. AF_10/2022</t>
  </si>
  <si>
    <t>10.01.02</t>
  </si>
  <si>
    <t>EMBOÇO OU MASSA ÚNICA EM ARGAMASSA TRAÇO 1:2:8, PREPARO MANUAL, APLICA DA MANUALMENTE EM PANOS DE FACHADA COM PRESENÇA DE VÃOS, ESPESSURA DE 25 MM. AF_08/2022</t>
  </si>
  <si>
    <t>10.01.03</t>
  </si>
  <si>
    <t>MASSA ÚNICA, PARA RECEBIMENTO DE PINTURA, EM ARGAMASSA TRAÇO 1:2:8, PREPARO MANUAL, APLICADA MANUALMENTE EM FACES INTERNAS DE PAREDES, ESPES
SURA DE 20MM, COM EXECUÇÃO DE TALISCAS. AF_06/2014</t>
  </si>
  <si>
    <t>10.01.04</t>
  </si>
  <si>
    <t>CANTONEIRA ALUMINIO ANODIZADO NATURAL, 1" X 1", BOLEADO, PARA ARREMATES EM REVESTIMENTOS CERÂMICOS</t>
  </si>
  <si>
    <t>10.01.05</t>
  </si>
  <si>
    <t>PERFIL ALUMÍNIO "U" 22,0MM X 1,90MM X 0,320KG/M</t>
  </si>
  <si>
    <t>10.02</t>
  </si>
  <si>
    <t xml:space="preserve">DE CERÂMICA </t>
  </si>
  <si>
    <t>10.02.01</t>
  </si>
  <si>
    <t>REVESTIMENTO EM PORCELANATO PARA PAREDE, 19 X 90 CM, LINHA BOSCO AMÊNDOA MA, ELIANE OU SIMILAR, APLICADO COM ARGAMASSA INDUSTRIALIZADA AC-II, REJUNTADO, EXCLUSIVE REGULARIZAÇÃO DE BASE OU EMBOÇO</t>
  </si>
  <si>
    <t>10.02.02</t>
  </si>
  <si>
    <t>10.02.03</t>
  </si>
  <si>
    <t>REVESTIMENTO CERAMICO PARA PAREDE, 33,5 X 45 CM, ELIANE, LINHA FORMA BRANCO AC, APLICADO COM ARGAMASSA INDUSTRIALIZADA AC-I, REJUNTADO, EXCLUSIVE EMBOÇO</t>
  </si>
  <si>
    <t>10.02.04</t>
  </si>
  <si>
    <t>REVESTIMENTO CERÂMICO PARA PAREDE, 5 X 10 CM, ELIZABETH, LINHA LUX VERDE CLARO, APLICADO COM ARGAMASSA INDUSTRIALIZADA AC-II, REJUNTE EPOXI, EXCLUSIVE REGULARIZAÇÃO DE BASE OU EMBOÇO - REV 02</t>
  </si>
  <si>
    <t>10.03</t>
  </si>
  <si>
    <t>ACÚSTICO</t>
  </si>
  <si>
    <t>MERC.</t>
  </si>
  <si>
    <t>10.03.01</t>
  </si>
  <si>
    <t>PAINEL ACUSTICO 500X500X50</t>
  </si>
  <si>
    <t>10.03.02</t>
  </si>
  <si>
    <t>PAINEL ACUSTICO 1200X2700X50</t>
  </si>
  <si>
    <t>10.03.03</t>
  </si>
  <si>
    <t>ADESIVO / COLA DE CONTATO LIQUIDO, A BASE DE RESINAS, PARA COLAGEM DE ESPUMA PARA ISOLAMENTO TERMICO FLEXIVEL</t>
  </si>
  <si>
    <t>L</t>
  </si>
  <si>
    <t>10.04</t>
  </si>
  <si>
    <t>FORROS</t>
  </si>
  <si>
    <t>10.04.01</t>
  </si>
  <si>
    <t>FORRO  NUVEM QUADRADA 1.20 X 1.20</t>
  </si>
  <si>
    <t>10.04.02</t>
  </si>
  <si>
    <t>10.04.03</t>
  </si>
  <si>
    <t>FORRO DE PVC, EM PLACA 1,25x0,625M, COR BRANCA, INCLUSIVE ESTRUTURA DE FIXAÇÃO, INSTALADO</t>
  </si>
  <si>
    <t>11.00</t>
  </si>
  <si>
    <t>PAVIMENTAÇÕES</t>
  </si>
  <si>
    <t>11.01</t>
  </si>
  <si>
    <t>BASE PARA PISO</t>
  </si>
  <si>
    <t>11.01.01</t>
  </si>
  <si>
    <t>APLICAÇÃO DE LONA PLÁSTICA PARA EXECUÇÃO DE PAVIMENTOS DE CONCRETO. AF_04/2022</t>
  </si>
  <si>
    <t>11.01.02</t>
  </si>
  <si>
    <t>FORNECIMENTO E INSTALAÇÃO DE TELA AÇO SOLDADA NERVURADA CA-60, MALHA 20X20CM, FERRO 3.4MM, PAINEL 2X3M, (0,72KG/M²), MALHA POP LEVE GERDAU OU SIMILAR</t>
  </si>
  <si>
    <t>11.01.03</t>
  </si>
  <si>
    <t>LASTRO DE CONCRETO SIMPLES REGULARIZADO, FCK=13,5 MPA,LANÇADO E ADENSADO</t>
  </si>
  <si>
    <t>11.01.04</t>
  </si>
  <si>
    <t>CONTRAPISO EM ARGAMASSA TRAÇO 1:4 (CIMENTO E AREIA), PREPARO MANUAL, APLICADO EM ÁREAS SECAS SOBRE LAJE, NÃO ADERIDO, ACABAMENTO NÃO REFORÇADO, ESPESSURA 6CM. AF_07/2021</t>
  </si>
  <si>
    <t>11.02</t>
  </si>
  <si>
    <t>CERÂMICO INTERNO</t>
  </si>
  <si>
    <t>11.02.01</t>
  </si>
  <si>
    <t>REVESTIMENTO CERÂMICO PARA PISO OU PAREDE, 60 X 60 CM, LINHA BIANCO PLUS POLIDO (PORCELANATO), COR BEGE, ELIANE OU SIMILAR, APLICADO COM ARGAMASSA INDUSTRIALIZADA AC-III, REJUNTADO COM EPOXI, EXCLUSIVE REGULARIZAÇÃO DE BASE OU EMBOÇO</t>
  </si>
  <si>
    <t>11.02.02</t>
  </si>
  <si>
    <r>
      <t xml:space="preserve">REVESTIMENTO CERÂMICO PARA PISO OU PAREDE, 60 X 60 CM, LINHA BIANCO PLUS POLIDO (PORCELANATO), COR BEGE, ELIANE OU SIMILAR, APLICADO COM ARGAMASSA INDUSTRIALIZADA AC-III, REJUNTADO COM EPOXI, EXCLUSIVE REGULARIZAÇÃO DE BASE OU EMBOÇO </t>
    </r>
    <r>
      <rPr>
        <b/>
        <sz val="11"/>
        <color indexed="8"/>
        <rFont val="Arial"/>
        <family val="2"/>
      </rPr>
      <t>(RODAPÉ H=10CM)</t>
    </r>
  </si>
  <si>
    <t>11.02.03</t>
  </si>
  <si>
    <t>SOLEIRA EM GRANITO BRANCO FORTALEZA, L = 15 CM, E = 2 CM</t>
  </si>
  <si>
    <t>11.03</t>
  </si>
  <si>
    <t>PISOS EXTERNOS</t>
  </si>
  <si>
    <t>11.03.01</t>
  </si>
  <si>
    <t>PAVIMENTAÇÃO EM BLOCO DE CONCRETO VIBROPRENSADO, INTERTRAVADO, COLORIDO, 10X20CM, E=8CM, 46UN/M2, NBR9781, FCK(MIN)=35MPA, SOB COXIM AREIA GROSSA COMPACTADA C/ PLACA VIBRATÓRIA, E(COMP.)=6CM, REJUNTADO C/ AREIA FINA.</t>
  </si>
  <si>
    <t>11.03.02</t>
  </si>
  <si>
    <t>MEIO-FIO DE CONCRETO SIMPLES, REJUNTADO COM ARGAMASSA DE CIMENTO E AREIA NO TRAÇO 1:3</t>
  </si>
  <si>
    <t>101747</t>
  </si>
  <si>
    <t>11.03.03</t>
  </si>
  <si>
    <t>PISO EM CONCRETO 20 MPA PREPARO MECÂNICO, ESPESSURA 7CM. AF_09/2020</t>
  </si>
  <si>
    <t>03644</t>
  </si>
  <si>
    <t>11.03.04</t>
  </si>
  <si>
    <t>ACABAMENTO DE SUPERFÍCIE DE PISO DE CONCRETO COM DESEMPOLAMENTO MANUAL (CALÇADA E RAMPA)</t>
  </si>
  <si>
    <t>11.03.05</t>
  </si>
  <si>
    <t>REVESTIMENTO CERÂMICO PARA PISO COM PLACAS TIPO PORCELANATO DE DIMENSÕES 60X60 CM APLICADA EM AMBIENTES DE ÁREA ENTRE 5 M² E 10 M². AF_02/2023_PE</t>
  </si>
  <si>
    <t>07653</t>
  </si>
  <si>
    <t>11.03.06</t>
  </si>
  <si>
    <t>PISO EM GRANITO BRANCO SIENA, ESP= 2CM, APLICADO COM ARGAMASSA INDUSTRIALIZADA AC-II, REJUNTADO, EXCLUSIVE REGULARIZAÇÃO DE BASE</t>
  </si>
  <si>
    <t>12.00</t>
  </si>
  <si>
    <t>PINTURAS</t>
  </si>
  <si>
    <t>12.01</t>
  </si>
  <si>
    <t>EMASSAMENTO DE SUPERFÍCIE, COM APLICAÇÃO DE 02 DEMÃOS DE MASSA ACRÍLICA, LIXAMENTO E RETOQUES - REV 01</t>
  </si>
  <si>
    <t>12.02</t>
  </si>
  <si>
    <t>FUNDO SELADOR ACRÍLICO, APLICAÇÃO MANUAL EM PAREDE, UMA DEMÃO. AF_04/2023</t>
  </si>
  <si>
    <t>12.03</t>
  </si>
  <si>
    <r>
      <rPr>
        <sz val="11"/>
        <color rgb="FF000000"/>
        <rFont val="Arial"/>
      </rPr>
      <t xml:space="preserve">APLICAÇÃO MANUAL DE PINTURA COM TINTA LÁTEX ACRÍLICA EM PAREDES, DUAS DEMÃOS. AF_06/2014 </t>
    </r>
    <r>
      <rPr>
        <b/>
        <sz val="11"/>
        <color rgb="FF000000"/>
        <rFont val="Arial"/>
      </rPr>
      <t>( BRANCO GELO )</t>
    </r>
  </si>
  <si>
    <t>12.04</t>
  </si>
  <si>
    <t>DEMARCAÇÃO DE PAVIMENTOS COM PINTURA DE 1 DEMÃO DE RESINA ACRÍLICA, E APLICAÇÃO DE MICRO-ESFERAS PARA SINALIZAÇÃO HORIZONTAL (ESTACIONAMENTOS, FAIXAS DE PEDRESTRES, ETC.)</t>
  </si>
  <si>
    <t>12.05</t>
  </si>
  <si>
    <r>
      <rPr>
        <sz val="11"/>
        <color rgb="FF000000"/>
        <rFont val="Arial"/>
      </rPr>
      <t xml:space="preserve">APLICAÇÃO MANUAL DE PINTURA COM TINTA LÁTEX ACRÍLICA EM PAREDES, DUAS DEMÃOS. AF_06/2014 </t>
    </r>
    <r>
      <rPr>
        <b/>
        <sz val="11"/>
        <color rgb="FF000000"/>
        <rFont val="Arial"/>
      </rPr>
      <t>( BRONZE PALM SPRINGS )</t>
    </r>
  </si>
  <si>
    <t>12.06</t>
  </si>
  <si>
    <t>12.07</t>
  </si>
  <si>
    <r>
      <rPr>
        <sz val="11"/>
        <color indexed="8"/>
        <rFont val="Arial"/>
        <family val="2"/>
      </rPr>
      <t xml:space="preserve">PINTURA DE ACABAMENTO COM APLICAÇÃO DE 02 DEMÃOS DE ESMALTE SINTÉTICO SOBRE SUPERFÍCIES METÁLICAS - R1 - </t>
    </r>
    <r>
      <rPr>
        <b/>
        <sz val="11"/>
        <color indexed="8"/>
        <rFont val="Arial"/>
        <family val="2"/>
      </rPr>
      <t>CONFORME ESPECIFICAÇÃO DO PROJETO</t>
    </r>
  </si>
  <si>
    <t>12.08</t>
  </si>
  <si>
    <t>EMASSAMENTO COM MASSA LÁTEX, APLICAÇÃO EM TETO, DUAS DEMÃOS, LIXAMENTO MANUAL. AF_04/2023</t>
  </si>
  <si>
    <t>12.09</t>
  </si>
  <si>
    <t>PINTURA PARA INTERIORES, SOBRE PAREDES OU TETOS, COM LIXAMENTO, APLICAÇÃO DE 01 DEMÃO DE LÍQUIDO SELADOR ACRÍLICO, 01 DEMÃO DE TEXTURA ACRÍLICA BRANCA E 02 DEMÃOS DE TINTA PVA LATEX CONVENCIONAL PARA INTERIORES</t>
  </si>
  <si>
    <t>12.10</t>
  </si>
  <si>
    <t>TEXTURA ACRÍLICA, APLICAÇÃO MANUAL EM PAREDE, UMA DEMÃO. AF_04/2023</t>
  </si>
  <si>
    <t>12.11</t>
  </si>
  <si>
    <t>PINTURA DE ACABAMENTO COM APLICAÇÃO DE 02 DEMAÕS DE TINTA ACRÍLICA CONVENCIONAL - CINZA CLARO - COBOGÓS</t>
  </si>
  <si>
    <t>12.12</t>
  </si>
  <si>
    <t>PINTURA PARA EXTERIORES, SOBRE PAREDES, COM LIXAMENTO, APLICAÇÃO DE 01 DEMÃO DE SELADOR ACRÍLICO, 01 DEMÃO DE TEXTURA ACRÍLICA BRANCA E 02 DEMÃOS DE TINTA ACRÍLICA CONVENCIONAL</t>
  </si>
  <si>
    <t>12.13</t>
  </si>
  <si>
    <t>PINTURA DE PISO COM TINTA ACRÍLICA, APLICAÇÃO MANUAL, 2 DEMÃOS, INCLUSO FUNDO PREPARADOR. AF_05/2021</t>
  </si>
  <si>
    <t>13.00</t>
  </si>
  <si>
    <t>INSTALAÇÕES HIDRO-SANITÁRIAS</t>
  </si>
  <si>
    <t>13.01</t>
  </si>
  <si>
    <t>INSTALAÇÕES HIDRÁULICAS - ÁGUA FRIA</t>
  </si>
  <si>
    <t>13.01.01</t>
  </si>
  <si>
    <t>ENCANADOR OU BOMBEIRO HIDRÁULICO COM ENCARGOS COMPLEMENTARES</t>
  </si>
  <si>
    <t>13.01.02</t>
  </si>
  <si>
    <t>AUXILIAR DE ENCANADOR OU BOMBEIRO HIDRÁULICO COM ENCARGOS COMPLEMENTARES</t>
  </si>
  <si>
    <t>13.01.03</t>
  </si>
  <si>
    <t>ADAPTADOR CURTO COM BOLSA E ROSCA PARA REGISTRO, PVC, SOLDÁVEL, DN 25MM X 3/4", INSTALADO EM RAMAL OU SUB-RAMAL DE ÁGUA - FORNECIMENTO E INSTALAÇÃO. AF_12/2014_P</t>
  </si>
  <si>
    <t>13.01.04</t>
  </si>
  <si>
    <t>ADAPTADOR COM FLANGE E ANEL DE VEDAÇÃO, PVC, SOLDÁVEL, DN 25 MM X 3/4", INSTALADO EM RESERVAÇÃO DE ÁGUA DE EDIFICAÇÃO QUE POSSUA RESERVATÓRIO DE FIBRA/FIBROCIMENTO FORNECIMENTO E INSTALAÇÃO. AF_06/2016</t>
  </si>
  <si>
    <t>13.01.05</t>
  </si>
  <si>
    <t>ADAPTADOR DE PVC RÍGIDO SOLDÁVEL CURTO C/ BOLSA E ROSCA P/ REGISTRO DIÂM = 60MM X 2"</t>
  </si>
  <si>
    <t>13.01.06</t>
  </si>
  <si>
    <t>ADAPTADOR CURTO COM BOLSA E ROSCA PARA REGISTRO, PVC, SOLDÁVEL, DN 50 MM X 1 1/2 , INSTALADO EM RESERVAÇÃO DE ÁGUA DE EDIFICAÇÃO QUE POSSUA RESERVATÓRIO DE FIBRA/FIBROCIMENTO FORNECIMENTO E INSTALAÇÃO. AF_06/2016</t>
  </si>
  <si>
    <t>13.01.07</t>
  </si>
  <si>
    <t>BÓIA ELÉTRICA PARA RESERVATÓRIO INFERIOR, MARCA AQUAMATIC OU SIMILAR, CAPACIDADE 30 A - FORNECIMENTO E INSTALAÇÃO</t>
  </si>
  <si>
    <t>13.01.08</t>
  </si>
  <si>
    <t>CHAVE DE BOIA AUTOMÁTICA SUPERIOR/INFERIOR 15A/250V - FORNECIMENTO E INSTALAÇÃO. AF_12/2020</t>
  </si>
  <si>
    <t>13.01.09</t>
  </si>
  <si>
    <t>TORNEIRA DE BÓIA REAL, ROSCÁVEL, 1 1/4", FORNECIDA E INSTALADA EM RESERVAÇÃO DE ÁGUA. AF_06/2016</t>
  </si>
  <si>
    <t>13.01.10</t>
  </si>
  <si>
    <t>CAIXA EM CONCRETO PRÉ-MOLDADO PARA ABRIGO DE HIDRÔMETRO COM DN 20 (½) FORNECIMENTO E INSTALAÇÃO. AF_11/2016</t>
  </si>
  <si>
    <t>13.01.11</t>
  </si>
  <si>
    <t xml:space="preserve">HIDRÔMETRO DN 20 (½), 3,0 M³/H FORNECIMENTO E INSTALAÇÃO. AF_11/2016 </t>
  </si>
  <si>
    <t>13.01.12</t>
  </si>
  <si>
    <t>JOELHO 90 GRAUS, ROSCA FÊMEA TERMINAL, METÁLICO, PARA INSTALAÇÕES EM PEX, DN 25 MM X 3/4", CONEXÃO POR ANEL DESLIZANTE FORNECIMENTO E INSTALAÇÃO. AF_06/2015</t>
  </si>
  <si>
    <t>13.01.13</t>
  </si>
  <si>
    <t>JOELHO 90 GRAUS, PVC, SOLDÁVEL, DN 25MM, INSTALADO EM RAMAL OU SUB-RAMAL DE ÁGUA - FORNECIMENTO E INSTALAÇÃO. AF_12/2014_P</t>
  </si>
  <si>
    <t>13.01.14</t>
  </si>
  <si>
    <t>JOELHO 90 GRAUS, PVC, SOLDÁVEL, DN 32MM, INSTALADO EM RAMAL OU SUB-RAMAL DE ÁGUA - FORNECIMENTO E INSTALAÇÃO. AF_12/2014_P</t>
  </si>
  <si>
    <t>13.01.15</t>
  </si>
  <si>
    <t>JOELHO 90º DE PVC RÍGIDO SOLDÁVEL, MARROM DIÂM = 40MM</t>
  </si>
  <si>
    <t>13.01.16</t>
  </si>
  <si>
    <t>JOELHO 90 GRAUS, PVC, SOLDÁVEL, DN 50MM, INSTALADO EM PRUMADA DE ÁGUA  FORNECIMENTO E INSTALAÇÃO.</t>
  </si>
  <si>
    <t>13.01.17</t>
  </si>
  <si>
    <t>JOELHO 90 GRAUS, PVC, SOLDÁVEL, DN 75MM, INSTALADO EM PRUMADA DE ÁGUA  FORNECIMENTO E INSTALAÇÃO.</t>
  </si>
  <si>
    <t>13.01.18</t>
  </si>
  <si>
    <t>JOELHO 45 GRAUS, PVC, SOLDÁVEL, DN 32MM, INSTALADO EM RAMAL DE DISTRIBUIÇÃO DE ÁGUA - FORNECIMENTO E INSTALAÇÃO. AF_12/2014</t>
  </si>
  <si>
    <t>13.01.19</t>
  </si>
  <si>
    <t>LUVA DE CORRER, PVC, SOLDÁVEL, DN 25MM, INSTALADO EM PRUMADA DE ÁGUA - FORNECIMENTO E INSTALAÇÃO. AF_12/2014</t>
  </si>
  <si>
    <t>13.01.20</t>
  </si>
  <si>
    <t>LUVA DE CORRER, PVC, SERIE NORMAL, ESGOTO PREDIAL, DN 50 MM, JUNTA ELÁSTICA, FORNECIDO E INSTALADO EM PRUMADA DE ESGOTO SANITÁRIO OU VENTILAÇÃO. AF_12/2014</t>
  </si>
  <si>
    <t>13.01.21</t>
  </si>
  <si>
    <t>LUVA DE PVC RÍGIDO SOLDÁVEL, MARROM DIÂM = 40MM</t>
  </si>
  <si>
    <t>13.01.22</t>
  </si>
  <si>
    <t>LUVA DE PVC RÍGIDO SOLDÁVEL, MARROM DIÂM = 32MM</t>
  </si>
  <si>
    <t>13.01.23</t>
  </si>
  <si>
    <t>BUCHA DE REDUCAO CURTA DE PVC RIGIDO SOLDAVEL MARROM, DIAM=50 X 40 MM</t>
  </si>
  <si>
    <t>13.01.24</t>
  </si>
  <si>
    <t>LUVA DE REDUÇÃO DE PVC RÍGIDO SOLDÁVEL, MARROM, DIÂM = 40 X 32MM</t>
  </si>
  <si>
    <t>13.01.25</t>
  </si>
  <si>
    <t>LUVA DE REDUÇÃO DE PVC RÍGIDO SOLDÁVEL, MARROM, DIÂM = 32 X 25MM</t>
  </si>
  <si>
    <t>13.01.26</t>
  </si>
  <si>
    <t>LUVA DE REDUÇÃO DE PVC RÍGIDO SOLDÁVEL, MARROM, DIÂM = 60 X 50MM</t>
  </si>
  <si>
    <t>13.01.27</t>
  </si>
  <si>
    <t>REGISTRO GAVETA C/CANOPLA CROMADA, 3/4", LINHA LINK, DECA OU SIMILAR</t>
  </si>
  <si>
    <t>13.01.28</t>
  </si>
  <si>
    <t xml:space="preserve">REGISTRO TIPO ESFERA EM PVC C/BORBOLETA, D = 3/4" </t>
  </si>
  <si>
    <t>13.01.29</t>
  </si>
  <si>
    <t>REGISTRO DE ESFERA, PVC, ROSCÁVEL, 3/4", FORNECIDO E INSTALADO EM RAMAL DE ÁGUA. AF_03/2015</t>
  </si>
  <si>
    <t>13.01.30</t>
  </si>
  <si>
    <t>REGISTRO DE GAVETA BRUTO, LATÃO, ROSCÁVEL, 2?, INSTALADO EM RESERVAÇÃO DE ÁGUA DE EDIFICAÇÃO QUE POSSUA RESERVATÓRIO DE FIBRA/FIBROCIMENTO ? FORNECIMENTO E INSTALAÇÃO. AF_06/2016</t>
  </si>
  <si>
    <t>13.01.31</t>
  </si>
  <si>
    <t xml:space="preserve">TERMINAL DE VENTILAÇÃO EM PVC RÍGIDO SOLDÁVEL, PARA ESGOTO PRIMÁRIO, DIÂM = 75MM </t>
  </si>
  <si>
    <t>13.01.32</t>
  </si>
  <si>
    <t>TE, PVC, SOLDÁVEL, DN 25MM, INSTALADO EM RAMAL OU SUB-RAMAL DE ÁGUA FORNECIMENTO E INSTALAÇÃO. AF_12/2014_P</t>
  </si>
  <si>
    <t>13.01.33</t>
  </si>
  <si>
    <t>TE, PVC, SOLDÁVEL, DN 32MM, INSTALADO EM RAMAL OU SUB-RAMAL DE ÁGUA - FORNECIMENTO E INSTALAÇÃO. AF_12/2014_P</t>
  </si>
  <si>
    <t>13.01.34</t>
  </si>
  <si>
    <t>TÊ 90º DE PVC RÍGIDO SOLDÁVEL, MARROM DIÂM = 40MM</t>
  </si>
  <si>
    <t>I-0007094</t>
  </si>
  <si>
    <t>13.01.35</t>
  </si>
  <si>
    <t>TE PVC ROSCAVEL 90 GRAUS, 1", PARA AGUA FRIA PREDIAL</t>
  </si>
  <si>
    <t>13.01.36</t>
  </si>
  <si>
    <t>TÊ 90º DE PVC RÍGIDO SOLDÁVEL, MARROM DIÂM = 50MM</t>
  </si>
  <si>
    <t>13.01.37</t>
  </si>
  <si>
    <t>TÊ 90º DE PVC RÍGIDO SOLDÁVEL, MARROM DIÂM = 60MM</t>
  </si>
  <si>
    <t>13.01.38</t>
  </si>
  <si>
    <t xml:space="preserve">TÊ 90º DE PVC RÍGIDO SOLDÁVEL, MARROM DIÂM = 75MM </t>
  </si>
  <si>
    <t>13.01.39</t>
  </si>
  <si>
    <t>13.01.40</t>
  </si>
  <si>
    <t>TUBO, PVC, SOLDÁVEL, DN 25MM, INSTALADO EM RAMAL OU SUB-RAMAL DE ÁGUA FORNECIMENTO E INSTALAÇÃO</t>
  </si>
  <si>
    <t>13.01.41</t>
  </si>
  <si>
    <t>TUBO, PVC, SOLDÁVEL, DN 32MM, INSTALADO EM RAMAL OU SUB-RAMAL DE ÁGUA FORNECIMENTO E INSTALAÇÃO</t>
  </si>
  <si>
    <t>13.01.42</t>
  </si>
  <si>
    <t>TUBO, PVC, SOLDÁVEL, DN 40MM, INSTALADO EM PRUMADA DE ÁGUA FORNECIMENTO E INSTALAÇÃO</t>
  </si>
  <si>
    <t>13.01.43</t>
  </si>
  <si>
    <t>TUBO, PVC, SOLDÁVEL, DN 50MM, INSTALADO EM PRUMADA DE ÁGUA  FORNECIMENTO E INSTALAÇÃO</t>
  </si>
  <si>
    <t>13.01.44</t>
  </si>
  <si>
    <t>TUBO, PVC, SOLDÁVEL, DN 60MM, INSTALADO EM PRUMADA DE ÁGUA - FORNECIMENTO E INSTALAÇÃO. AF_12/2014</t>
  </si>
  <si>
    <t>13.01.45</t>
  </si>
  <si>
    <t>TUBO PVC RIGIDO SOLDAVEL MARROM PARA ÁGUA DN 75 MM (2 1/2")</t>
  </si>
  <si>
    <t>MERC02/06</t>
  </si>
  <si>
    <t>13.01.46</t>
  </si>
  <si>
    <t>TANQUE DE POLIETILENO 5.000L FORT PLUS FORTLEV</t>
  </si>
  <si>
    <t>13.02</t>
  </si>
  <si>
    <t>INSTALAÇÕES HIDRÁULICAS - ESGOTO E ÁGUAS PLUVIAIS</t>
  </si>
  <si>
    <t>13.02.01</t>
  </si>
  <si>
    <t>JOELHO 45 GRAUS, PVC, SERIE NORMAL, ESGOTO PREDIAL, DN 100 MM, JUNTA ELÁSTICA, FORNECIDO E INSTALADO EM PRUMADA DE ESGOTO SANITÁRIO OU VENTILAÇÃO. AF_12/2014</t>
  </si>
  <si>
    <t>13.02.02</t>
  </si>
  <si>
    <t>JOELHO 45 GRAUS, PVC, SERIE NORMAL, ESGOTO PREDIAL, DN 40 MM, JUNTA SOLDÁVEL, FORNECIDO E INSTALADO EM RAMAL DE DESCARGA OU RAMAL DE ESGOTO SANITÁRIO. AF_12/2014</t>
  </si>
  <si>
    <t>13.02.03</t>
  </si>
  <si>
    <t>JOELHO 45 GRAUS, PVC, SERIE NORMAL, ESGOTO PREDIAL, DN 50 MM, JUNTA ELÁSTICA, FORNECIDO E INSTALADO EM RAMAL DE DESCARGA OU RAMAL DE ESGOTO SANITÁRIO. AF_12/2014</t>
  </si>
  <si>
    <t>13.02.04</t>
  </si>
  <si>
    <t>REGISTRO DE ESFERA, PVC, ROSCÁVEL, COM BORBOLETA, 3/4" - FORNECIMENTO E INSTALAÇÃO. AF_08/2021</t>
  </si>
  <si>
    <t>13.02.05</t>
  </si>
  <si>
    <t>JOELHO 90 GRAUS, PVC, SERIE NORMAL, ESGOTO PREDIAL, DN 40 MM, JUNTA SOLDÁVEL, FORNECIDO E INSTALADO EM RAMAL DE DESCARGA OU RAMAL DE ESGOTO SANITÁRIO. AF_12/2014_P</t>
  </si>
  <si>
    <t>13.02.06</t>
  </si>
  <si>
    <t xml:space="preserve">JOELHO DE 90°COM BOLSA PARA ANEL, EM PVC RÍGIDO C/ ANÉIS, PARA ESGOTO SECUNDÁRIO, DIÂM = 40MM </t>
  </si>
  <si>
    <t>13.02.07</t>
  </si>
  <si>
    <t>JOELHO 90 GRAUS, PVC, SERIE NORMAL, ESGOTO PREDIAL, DN 50 MM, JUNTA ELÁSTICA, FORNECIDO E INSTALADO EM RAMAL DE DESCARGA OU RAMAL DE ESGOTO SANITÁRIO. AF_12/2014</t>
  </si>
  <si>
    <t>13.02.08</t>
  </si>
  <si>
    <t>JOELHO 90 GRAUS, PVC, SERIE NORMAL, ESGOTO PREDIAL, DN 150 MM, JUNTA ELÁSTICA, FORNECIDO E INSTALADO EM SUBCOLETOR AÉREO DE ESGOTO SANITÁRIO. AF_12/2014</t>
  </si>
  <si>
    <t>13.02.09</t>
  </si>
  <si>
    <t>JOELHO 90 GRAUS, PVC, SERIE NORMAL, ESGOTO PREDIAL, DN 100 MM, JUNTA ELÁSTICA, FORNECIDO E INSTALADO EM RAMAL DE DESCARGA OU RAMAL DE ESGOTO SANITÁRIO. AF_12/2014</t>
  </si>
  <si>
    <t>13.02.10</t>
  </si>
  <si>
    <t>CURVA CURTA 90 GRAUS, PVC, SERIE NORMAL, ESGOTO PREDIAL, DN 100 MM, JUNTA ELÁSTICA, FORNECIDO E INSTALADO EM PRUMADA DE ESGOTO SANITÁRIO OU VENTILAÇÃO. AF_12/2014</t>
  </si>
  <si>
    <t>13.02.11</t>
  </si>
  <si>
    <t>CURVA 90° LONGA EM PVC RÍGIDO SOLDÁVEL, DIÂM = 100MM</t>
  </si>
  <si>
    <t>13.02.12</t>
  </si>
  <si>
    <t>GRELHA P/RALO EM PVC, REDONDA, 15CM, TIGRE OU SIMILAR</t>
  </si>
  <si>
    <t>13.02.13</t>
  </si>
  <si>
    <t>JUNÇÃO SIMPLES EM PVC RÍGIDO SOLDÁVEL, PARA ESGOTO PRIMÁRIO, DIÂM = 100 X 50MM</t>
  </si>
  <si>
    <t>13.02.14</t>
  </si>
  <si>
    <t>JUNÇÃO SIMPLES EM PVC RÍGIDO C/ ANÉIS, PARA ESGOTO PRIMÁRIO, DIÂM =100 X 50MM</t>
  </si>
  <si>
    <t>13.02.15</t>
  </si>
  <si>
    <t>JUNÇÃO SIMPLES, PVC, SERIE NORMAL, ESGOTO PREDIAL, DN 40 MM, JUNTA SOLDÁVEL, FORNECIDO E INSTALADO EM RAMAL DE DESCARGA OU RAMAL DE ESGOTO SANITÁRIO. AF_12/2014</t>
  </si>
  <si>
    <t>13.02.16</t>
  </si>
  <si>
    <t>JUNÇÃO SIMPLES, PVC, SERIE NORMAL, ESGOTO PREDIAL, DN 50 X 50 MM, JUNTA ELÁSTICA, FORNECIDO E INSTALADO EM RAMAL DE DESCARGA OU RAMAL DE ESGOTO SANITÁRIO. AF_12/2014</t>
  </si>
  <si>
    <t>13.02.17</t>
  </si>
  <si>
    <t>LUVA DE CORRER, PVC, SERIE NORMAL, ESGOTO PREDIAL, DN 100 MM, JUNTA ELÁSTICA, FORNECIDO E INSTALADO EM SUBCOLETOR AÉREO DE ESGOTO SANITÁRIO. AF_12/2014</t>
  </si>
  <si>
    <t>I-01822</t>
  </si>
  <si>
    <t>13.02.18</t>
  </si>
  <si>
    <t>PORTA GRELHA PVC REDONDA, BRANCA, P/CAIXA E RALOS, D= 100MM</t>
  </si>
  <si>
    <t>13.02.19</t>
  </si>
  <si>
    <t>REDUÇÃO EXCÊNTRICA EM PVC RÍGIDO C/ ANÉIS, PARA ESGOTO PRIMÁRIO, DIÂM =100 X 75MM</t>
  </si>
  <si>
    <t>13.02.20</t>
  </si>
  <si>
    <t>BUCHA DE REDUÇÃO LONGA, PVC, SERIE R, ÁGUA PLUVIAL, DN 50 X 40 MM, JUNTA ELÁSTICA, FORNECIDO E INSTALADO EM RAMAL DE ENCAMINHAMENTO. AF_12/2014</t>
  </si>
  <si>
    <t>13.02.21</t>
  </si>
  <si>
    <t>TÊ SANITÁRIO EM PVC RÍGIDO SOLDÁVEL, PARA ESGOTO PRIMÁRIO, DIÂM = 100 X 50MM</t>
  </si>
  <si>
    <t>13.02.22</t>
  </si>
  <si>
    <t>TÊ SANITÁRIO EM PVC RÍGIDO SOLDÁVEL, PARA ESGOTO PRIMÁRIO, DIÂM = 50 X 50MM</t>
  </si>
  <si>
    <t>13.02.23</t>
  </si>
  <si>
    <t>TUBO PVC, SERIE NORMAL, ESGOTO PREDIAL, DN 40 MM, FORNECIDO E INSTALADO EM RAMAL DE DESCARGA OU RAMAL DE ESGOTO SANITÁRIO. AF_12/2014_P</t>
  </si>
  <si>
    <t>13.02.24</t>
  </si>
  <si>
    <t>TUBO PVC RÍGIDO C/ANEL BORRACHA, SERIE NORMAL, P/ESGOTO PREDIAL, D = 50MM</t>
  </si>
  <si>
    <t>13.02.25</t>
  </si>
  <si>
    <t>TUBO PVC RÍGIDO C/ANEL BORRACHA, SERIE NORMAL, P/ESGOTO PREDIAL, D = 75MM</t>
  </si>
  <si>
    <t>13.02.26</t>
  </si>
  <si>
    <t>TUBO PVC RÍGIDO C/ANEL BORRACHA, SERIE NORMAL, P/ESGOTO PREDIAL, D = 100MM</t>
  </si>
  <si>
    <t>13.02.27</t>
  </si>
  <si>
    <t>TUBO PVC, SERIE NORMAL, ESGOTO PREDIAL, DN 150 MM, FORNECIDO E INSTALADO EM SUBCOLETOR AÉREO DE ESGOTO SANITÁRIO. AF_12/2014_P</t>
  </si>
  <si>
    <t>13.02.28</t>
  </si>
  <si>
    <t>TUBO PVC RÍGIDO C/ANEL BORRACHA, SERIE NORMAL, P/ESGOTO PREDIAL, D = 200MM</t>
  </si>
  <si>
    <t>13.02.29</t>
  </si>
  <si>
    <t>CAIXA SIFONADA QUADRADA, COM TRÊS ENTRADAS E UMA SAIDA, D = 100X150X50MM, BRANCO, COM GRELHA, AKROS OU SIMILAR</t>
  </si>
  <si>
    <t>13.02.30</t>
  </si>
  <si>
    <t>RALO SIFONADO, PVC, DN 100 X 40 MM, JUNTA SOLDÁVEL, FORNECIDO E INSTALADO EM RAMAL DE DESCARGA OU EM RAMAL DE ESGOTO SANITÁRIO. AF_12/2014</t>
  </si>
  <si>
    <t>13.02.31</t>
  </si>
  <si>
    <t>CAIXA DE INSPEÇÃO 0.60 X 0.60 X 0.60M</t>
  </si>
  <si>
    <t>13.02.32</t>
  </si>
  <si>
    <t>TERMINAL DE VENTILAÇÃO EM PVC RÍGIDO SOLDÁVEL, PARA ESGOTO PRIMÁRIO, DIÂM = 100MM</t>
  </si>
  <si>
    <t>13.02.33</t>
  </si>
  <si>
    <t>ANEL DE BORRACHA PARA TUBO PVC SANITARIO D = 100MM</t>
  </si>
  <si>
    <t>13.02.34</t>
  </si>
  <si>
    <t>ANEL DE BORRACHA PARA TUBO PVC SANITARIO D = 50MM</t>
  </si>
  <si>
    <t>13.02.35</t>
  </si>
  <si>
    <t>CAIXA DE ÁGUAS PLUVIAIS EM PVC 300MM</t>
  </si>
  <si>
    <t>13.02.36</t>
  </si>
  <si>
    <t>CAIXA DE PASSAGEM EM ALVENARIA DE TIJOLOS MACIÇOS ESP. = 0,12M, DIM. INT. = 0.30 X 0.30 X 0.40M, COM GRELHA DE FERRO FUNDIDO</t>
  </si>
  <si>
    <t>13.02.37</t>
  </si>
  <si>
    <t>CAIXA DE PASSAGEM EM ALVENARIA DE TIJOLOS MACIÇOS DIM. INT. = 0,60X0,60X1,20M</t>
  </si>
  <si>
    <t>13.02.38</t>
  </si>
  <si>
    <t>RALO HEMISFÉRICO EM Fº Fº, TIPO ABACAXI Ø 100MM</t>
  </si>
  <si>
    <t>13.03</t>
  </si>
  <si>
    <t>LOUÇAS E METAIS SANITÁRIOS</t>
  </si>
  <si>
    <t>13.03.01</t>
  </si>
  <si>
    <t xml:space="preserve">VÁLVULA DE DESCARGA CROMADA C/ CANOPLA LISA 40 MM (1 1/2") </t>
  </si>
  <si>
    <t>13.03.02</t>
  </si>
  <si>
    <t>VÁLVULA PÉ C/ CRIVO D= 25MM (1")</t>
  </si>
  <si>
    <t>13.03.03</t>
  </si>
  <si>
    <t>VÁLVULA DE RETENÇÃO VERTICAL, DE BRONZE, ROSCÁVEL, 1" - FORNECIMENTO E INSTALAÇÃO. AF_01/2019</t>
  </si>
  <si>
    <t>13.03.04</t>
  </si>
  <si>
    <t xml:space="preserve">LAVATÓRIO LOUÇA DE CANTO (DECA-IZY, REF L-10117 OU SIMILAR) SEM COLUNA, C/ SIFÃO CROMADO, VÁLVULA CROMADA, ENGATE CROMADO, EXCLUSIVE TORNEIRA </t>
  </si>
  <si>
    <t>13.03.05</t>
  </si>
  <si>
    <t>CUBA DE EMBUTIR, CIRCULAR, CELITE 10129 OU SIMILAR, INCLUSIVE SIFÃO CROMADO, VÁLVULA CROMADA PARA PIA E ENGATE CROMADO</t>
  </si>
  <si>
    <t>13.03.06</t>
  </si>
  <si>
    <t>13.03.07</t>
  </si>
  <si>
    <t>VASO SANITÁRIO SIFONADO COM CAIXA ACOPLADA LOUÇA BRANCA - PADRÃO MÉDIO, INCLUSO ENGATE FLEXÍVEL EM PLÁSTICO BRANCO, 1/2 X 40CM - FORNECIMENTO E INSTALAÇÃO. AF_12/2013</t>
  </si>
  <si>
    <t>13.03.08</t>
  </si>
  <si>
    <t>ASSENTO PLÁSTICO, UNIVERSAL, BRANCO, PARA VASO SANITÁRIO, TIPO CONVENCIONAL, INCEPA OU SIMILAR</t>
  </si>
  <si>
    <t>13.03.09</t>
  </si>
  <si>
    <t>VASO SANITÁRIO, LINHA VOGUE PLUS CONFORTO P.510.17, SEM ABERTURA FRONTAL, DECA OU SIMILAR, EXCLUSIVE CAIXA ÓU VÁLVULA DE DESCARGA</t>
  </si>
  <si>
    <t>13.03.10</t>
  </si>
  <si>
    <t>VÁLVULA DE DESCARGA CROMADA COM CANOPLA COM ACABAMENTO BENEFIT DOCOL REF. 00184906 (HASTE DE ACIONAMENTO) OU SIMILAR (WC PNE)</t>
  </si>
  <si>
    <t>13.03.11</t>
  </si>
  <si>
    <t>BACIA TURCA (CELITE REF 003006), CAIXA DE DESCARGA DE EMBUTIR (MONTANA) OU SIMILARES</t>
  </si>
  <si>
    <t>13.03.12</t>
  </si>
  <si>
    <t xml:space="preserve">TANQUE EM AÇO INOX, INCLUSO TORNEIRA CROMADA E SIFÃO PVC </t>
  </si>
  <si>
    <t>13.03.13</t>
  </si>
  <si>
    <t>13.03.14</t>
  </si>
  <si>
    <t>TORNEIRA PARA LAVATÓRIO, DE MESA, CROMADA, BICA ALTA, REF.: FLEX PLUS, 1198 C21, DA DECA OU SIMILAR, INCLUSIVE FURO PARA INSTALAÇÃO EM BANCADA</t>
  </si>
  <si>
    <t>13.03.15</t>
  </si>
  <si>
    <t>TORNEIRA CROMADA PARA TANQUE/JARDIM, 1/2", REF.1153 C39, DECA OU SIMILAR</t>
  </si>
  <si>
    <t>13.03.16</t>
  </si>
  <si>
    <t>14.00</t>
  </si>
  <si>
    <t>INSTALAÇÕES CONTRA INCÊNDIO E PÂNICO</t>
  </si>
  <si>
    <t>14.01</t>
  </si>
  <si>
    <t>PLACA DE SINALIZACAO DE SEGURANCA CONTRA INCENDIO, FOTOLUMINESCENTE, RETANGULAR, *20 X 40* CM, EM PVC *2* MM ANTI-CHAMAS (SIMBOLOS, CORES E PICTOGRAMAS CONFORME NBR 13434)</t>
  </si>
  <si>
    <t>14.02</t>
  </si>
  <si>
    <t>LUMINÁRIA DE EMERGÊNCIA, COM 30 LÂMPADAS LED DE 2 W, SEM REATOR - FORNECIMENTO E INSTALAÇÃO. AF_02/2020</t>
  </si>
  <si>
    <t>14.03</t>
  </si>
  <si>
    <t>EXTINTOR DE PÓ QUÍMICO ABC, CAPACIDADE 6 KG, ALCANCE MÉDIO DO JATO 5M , TEMPO DE DESCARGA 12S, NBR9443, 9444, 10721</t>
  </si>
  <si>
    <t>14.04</t>
  </si>
  <si>
    <t xml:space="preserve">PLACA DE INDICATIVA DE "EXTINTOR" EM PVC, DIM.: 20 X 20 CM </t>
  </si>
  <si>
    <t>14.05</t>
  </si>
  <si>
    <t>TUBO DE AÇO GALVANIZADO COM COSTURA, CLASSE MÉDIA, DN 65 (2 1/2"), CONEXÃO ROSQUEADA, INSTALADO EM PRUMADAS - FORNECIMENTO E INSTALAÇÃO. AF_12/2015</t>
  </si>
  <si>
    <t>14.06</t>
  </si>
  <si>
    <t>TUBO DE AÇO GALVANIZADO COM COSTURA, CLASSE MÉDIA, CONEXÃO ROSQUEADA, DN 80 (3"), INSTALADO EM REDE DE ALIMENTAÇÃO PARA SPRINKLER - FORNECIMENTO E INSTALAÇÃO. AF_10/2020</t>
  </si>
  <si>
    <t>14.07</t>
  </si>
  <si>
    <t>VÁLVULA DE RETENÇÃO HORIZONTAL, DE BRONZE, ROSCÁVEL, 2 1/2" - FORNECIMENTO E INSTALAÇÃO. AF_08/2021</t>
  </si>
  <si>
    <t>14.08</t>
  </si>
  <si>
    <t>VÁLVULA DE RETENÇÃO VERTICAL, DE BRONZE, ROSCÁVEL, 3" - FORNECIMENTO E INSTALAÇÃO. AF_08/2021</t>
  </si>
  <si>
    <t>14.09</t>
  </si>
  <si>
    <t>JOELHO 90 GRAUS, EM FERRO GALVANIZADO, DN 65 (2 1/2"), CONEXÃO ROSQUEADA, INSTALADO EM REDE DE ALIMENTAÇÃO PARA HIDRANTE - FORNECIMENTO E INSTALAÇÃO. AF_12/2015</t>
  </si>
  <si>
    <t>14.10</t>
  </si>
  <si>
    <t>JOELHO 90 GRAUS, EM FERRO GALVANIZADO, CONEXÃO ROSQUEADA, DN 80 (3"), INSTALADO EM REDE DE ALIMENTAÇÃO PARA HIDRANTE - FORNECIMENTO E INSTALAÇÃO. AF_10/2020</t>
  </si>
  <si>
    <t>14.11</t>
  </si>
  <si>
    <t>REGISTRO DE GAVETA BRUTO, LATÃO, ROSCÁVEL, 3" - FORNECIMENTO E INSTALAÇÃO. AF_08/2021</t>
  </si>
  <si>
    <t>14.12</t>
  </si>
  <si>
    <t>TÊ, EM FERRO GALVANIZADO, DN 65 (2 1/2"), CONEXÃO ROSQUEADA, INSTALADO EM PRUMADAS - FORNECIMENTO E INSTALAÇÃO. AF_10/2020</t>
  </si>
  <si>
    <t>14.13</t>
  </si>
  <si>
    <t>TÊ, EM FERRO GALVANIZADO, DN 80 (3"), CONEXÃO ROSQUEADA, INSTALADO EM PRUMADAS - FORNECIMENTO E INSTALAÇÃO. AF_10/2020</t>
  </si>
  <si>
    <t>14.14</t>
  </si>
  <si>
    <t>HIDRANTE SUBTERRÂNEO PREDIAL (COM CURVA LONGA E CAIXA), DN 75 MM - FORNECIMENTO E INSTALAÇÃO. AF_10/2020</t>
  </si>
  <si>
    <t>14.15</t>
  </si>
  <si>
    <t>ABRIGO PARA HIDRANTE INTERNO, INCLUSIVE CAIXA EMBUTIR CHAPA FERRO N.º 14, DIMENSÕES 0.90 X 0.60 X 0.17 M, REGISTRO TIPO GLOBO 2 1/2", MANGUEIRA (30M) COM ESGUICHO E CONEXÕES - REV 03</t>
  </si>
  <si>
    <t>14.16</t>
  </si>
  <si>
    <t>ACIONADOR MANUAL (BOTOEIRA), P/INSTAL. INCENDIO - ENDEREÇÁVEL</t>
  </si>
  <si>
    <t>14.17</t>
  </si>
  <si>
    <t>SIRENE AÚDIOVISUAL ENDEREÇAVEL, 120DB, PARA ALARME DE INCÊNDIO</t>
  </si>
  <si>
    <t>14.18</t>
  </si>
  <si>
    <t>CENTRAL DE ALARME E DETECÇÃO DE INCENDIO, CAPACIDADE: 8 LAÇOS, COM 2 LINHAS, MOD.VR-8L, VERIN OU SIMILAR</t>
  </si>
  <si>
    <t>14.19</t>
  </si>
  <si>
    <t>ACIONADOR MANUAL ENDEREÇAVEL - MODELO AME-2 DA VERIN OU SIMILAR, TIPO "APERTE AQUI"</t>
  </si>
  <si>
    <t>14.20</t>
  </si>
  <si>
    <t>PERFILADO, PRÉ-ZINCADO A FOGO, PERFURADO 38 X 38 X 6000MM</t>
  </si>
  <si>
    <t>14.21</t>
  </si>
  <si>
    <t>GANCHO CURTO PARA PERFILADO, ( REF.: MOPA OU SIMILAR)"</t>
  </si>
  <si>
    <t>14.22</t>
  </si>
  <si>
    <t>BARRA ROSCADA BICROMATIZADA Ø 3/8" X 3000MM</t>
  </si>
  <si>
    <t>14.23</t>
  </si>
  <si>
    <t>CHUMBADOR PARABOLT INOX 3/8" X 5", FORNECIMENTO</t>
  </si>
  <si>
    <t>14.24</t>
  </si>
  <si>
    <t>CABO BLINDADO PARA ALARME E DETECÇÃO DE INCÊNCIO 4 X 1,5MM2</t>
  </si>
  <si>
    <t>15.00</t>
  </si>
  <si>
    <t>INSTALAÇÕES ELÉTRICAS, SPDA, CFTV, LOGICA</t>
  </si>
  <si>
    <t>15.01</t>
  </si>
  <si>
    <t>SUBESTAÇÃO E ENTRADA DE ENERGIA</t>
  </si>
  <si>
    <t>15.01.01</t>
  </si>
  <si>
    <t>ENGENHEIRO ELETRICISTA COM ENCARGOS COMPLEMENTARES</t>
  </si>
  <si>
    <t>15.01.02</t>
  </si>
  <si>
    <t>MÃO-DE-OBRA PARA IMPLANTAÇÃO DE TRANSFORMADOR TRIFÁSICO DE 15 A 112,5KVA</t>
  </si>
  <si>
    <t>15.01.03</t>
  </si>
  <si>
    <t>DISJUNTOR TERMOMAGNÉTICO TRIPOLAR 225 A COM CAIXA MOLDADA 10 KA</t>
  </si>
  <si>
    <t>15.01.04</t>
  </si>
  <si>
    <t>CABO DE COBRE ISOLADO EM EPR FLEXÍVEL UNIPOLAR 25MM² - 0,6KV/1KV/90°</t>
  </si>
  <si>
    <t>CP-U-A-14</t>
  </si>
  <si>
    <t>15.01.05</t>
  </si>
  <si>
    <t>CABO DE ALUMÍNIO BLOQUEADO HEPR (XLPE), RÍGIDO, 50MM², 1KV / 90º C</t>
  </si>
  <si>
    <t>15.01.06</t>
  </si>
  <si>
    <t>CABO DE COBRE ISOLADO EM EPR FLEXÍVEL UNIPOLAR 95MM² - 0,6KV/1KV/90°</t>
  </si>
  <si>
    <t>15.01.07</t>
  </si>
  <si>
    <t>CABO DE COBRE NÚ 25 MM2 - FORNECIMENTO E ASSENTAMENTO (4,51M/KG)</t>
  </si>
  <si>
    <t>15.01.08</t>
  </si>
  <si>
    <t>CABO DE AÇO ZINCADO A QUENTE SM DIAM=9,5MM</t>
  </si>
  <si>
    <t>15.01.09</t>
  </si>
  <si>
    <t>CAIXA DE MEDIÇÃO INDIRETA EM ALUMÍNIO - FORNECIMENTO</t>
  </si>
  <si>
    <t>I-00011821</t>
  </si>
  <si>
    <t>15.01.10</t>
  </si>
  <si>
    <t>CONECTOR METALICO TIPO PARAFUSO FENDIDO (SPLIT BOLT), COM SEPARADOR DE CABOS BIMETALICOS, PARA CABOS ATE 25 MM²</t>
  </si>
  <si>
    <t>15.01.11</t>
  </si>
  <si>
    <t>HASTE COBREADA COPPERWELD P/ATERRAMENTO D= 5/8" X 2,40M</t>
  </si>
  <si>
    <t>I-09691</t>
  </si>
  <si>
    <t>15.01.12</t>
  </si>
  <si>
    <t>MOLDE DE SOLDA EXOTÉRMICA 5/8</t>
  </si>
  <si>
    <t xml:space="preserve">I-10339 </t>
  </si>
  <si>
    <t>15.01.13</t>
  </si>
  <si>
    <t>MOLDE DE SOLDA EXOTÉRMICA TIPO "X" PARA CABO COBRE NU 50 MM²</t>
  </si>
  <si>
    <t>15.01.14</t>
  </si>
  <si>
    <t>FORNECIMENTO DE CARTUCHO PARA SOLDA EXOTÉRMICA PARA CABO 70 MM²</t>
  </si>
  <si>
    <t>15.01.15</t>
  </si>
  <si>
    <t>POSTE DE CONCRETO DUPLO T (DT) 11/600 - FORNECIMENTO</t>
  </si>
  <si>
    <t>15.01.16</t>
  </si>
  <si>
    <t>POSTE DE CONCRETO DUPLO T (DT) 11/1000 - FORNECIMENTO</t>
  </si>
  <si>
    <t>15.01.17</t>
  </si>
  <si>
    <t>ASSENTAMENTO DE POSTE CIRCULAR DE CONCRETO</t>
  </si>
  <si>
    <t>15.01.18</t>
  </si>
  <si>
    <t>FORNECIMENTO DE CRUZETA DE CONCRETO "T" 1900MM</t>
  </si>
  <si>
    <t>15.01.19</t>
  </si>
  <si>
    <t>CHAVE FUSÍVEL TRIPOLAR 100A - 10KA</t>
  </si>
  <si>
    <t>15.01.20</t>
  </si>
  <si>
    <t>ELO FUSÍVEL 6K</t>
  </si>
  <si>
    <t>15.01.21</t>
  </si>
  <si>
    <t>FORNECIMENTO E INSTALAÇÃO DE PÁRA-RAIO DE DISTRIBUIÇÃO POLIMÉRICO 12KV, C/ DESLIGAMENTO AUTOMÁTICO, RESIST. NÃO LINEAR</t>
  </si>
  <si>
    <t>15.01.22</t>
  </si>
  <si>
    <t>FORNECIMENTO DE GRAMPO DE LINHA VIVA 6 A 250 MCM, RAMAL 8 A 2/0 AWG</t>
  </si>
  <si>
    <t>15.01.23</t>
  </si>
  <si>
    <t>FORNECIMENTO DE ALÇA PREFORMADA PARA ESTAI 9,5MM MR</t>
  </si>
  <si>
    <t>I-10609</t>
  </si>
  <si>
    <t>15.01.24</t>
  </si>
  <si>
    <t>CONECTOR CUNHA COM CAPA DE PROTEÇÃO - CLASSE DE TENSÃO 15KV - EM LIGA DE ALUMÍNIO PARA CONDUTORES ISOLADOS DE 70MM/35MM - 50MM/50MM</t>
  </si>
  <si>
    <t>15.01.25</t>
  </si>
  <si>
    <t>FORNECIMENTO E INSTALAÇÃO DE ISOLADOR DE DISCO POLIMÉRICO 15 KV</t>
  </si>
  <si>
    <t>15.01.26</t>
  </si>
  <si>
    <t>FORNECIMENTO DE PINO P/ ISOLADOR 15KV, 294MM</t>
  </si>
  <si>
    <t>15.01.27</t>
  </si>
  <si>
    <t>FORNECIMENTO E INSTALÇÃO DE ISOLADOR SUPORTE PEDESTAL DE USO INTERNO COM PRENSA FIO, EM PORCELANA TIPO PILAR COR BRANCA, CLASSE TENSÃO 15 KV</t>
  </si>
  <si>
    <t xml:space="preserve">I-10630 </t>
  </si>
  <si>
    <t>15.01.28</t>
  </si>
  <si>
    <t>GRAMPO DE ANCORAGEM EM ALUMÍNIO FUNDIDO E CUNHA EM POLIAMIDA E ESTRIBO OU ALÇA EM AÇO INOXIDÁVEL PARA CABO PROTEGIDO DE 50MM² - CLASSE DE TENSÃO 15KV</t>
  </si>
  <si>
    <t>15.01.29</t>
  </si>
  <si>
    <t>GANCHO SUSPENSÃO COM OLHAL, FORNECIMENTO</t>
  </si>
  <si>
    <t>15.01.30</t>
  </si>
  <si>
    <t>FORNECIMENTO DE PORCA OLHAL</t>
  </si>
  <si>
    <t>15.01.31</t>
  </si>
  <si>
    <t>MANILHA SAPATILHA PREFORMADA, FORNECIMENTO</t>
  </si>
  <si>
    <t>15.01.32</t>
  </si>
  <si>
    <t>FORNECIMENTO DE SAPATILHA P/ CABO DE AÇO ATÉ 9,5MM</t>
  </si>
  <si>
    <t>I-04655</t>
  </si>
  <si>
    <t>15.01.33</t>
  </si>
  <si>
    <t>ESPAÇADOR LOSANGULAR 15KV</t>
  </si>
  <si>
    <t>I-01696</t>
  </si>
  <si>
    <t>15.01.34</t>
  </si>
  <si>
    <t>PARAFUSO MÁQUINA 16 X 400MM</t>
  </si>
  <si>
    <t>I-03455</t>
  </si>
  <si>
    <t>15.01.35</t>
  </si>
  <si>
    <t>PARAFUSO MÁQUINA 16 X 300MM</t>
  </si>
  <si>
    <t>I-00000431</t>
  </si>
  <si>
    <t>15.01.36</t>
  </si>
  <si>
    <t>PARAFUSO M16 EM ACO GALVANIZADO, COMPRIMENTO = 200 MM, DIAMETRO = 16 MM, ROSCA MAQUINA, CABECA QUADRADA</t>
  </si>
  <si>
    <t>I-00000432</t>
  </si>
  <si>
    <t>15.01.37</t>
  </si>
  <si>
    <t>PARAFUSO M16 EM ACO GALVANIZADO, COMPRIMENTO = 250 MM, DIAMETRO = 16 MM, ROSCA MAQUINA, CABECA QUADRADA</t>
  </si>
  <si>
    <t>I-00000439</t>
  </si>
  <si>
    <t>15.01.38</t>
  </si>
  <si>
    <t>PARAFUSO M16 EM ACO GALVANIZADO, COMPRIMENTO = 300 MM, DIAMETRO = 16 MM, ROSCA MAQUINA, CABECA QUADRADA</t>
  </si>
  <si>
    <t>I-00000437</t>
  </si>
  <si>
    <t>15.01.39</t>
  </si>
  <si>
    <t>PARAFUSO M16 EM ACO GALVANIZADO, COMPRIMENTO = 400 MM, DIAMETRO = 16 MM, ROSCA DUPLA</t>
  </si>
  <si>
    <t>15.01.40</t>
  </si>
  <si>
    <t>FORNECIMENTO DE ARRUELA QUADRADA 50MM C/ FURO 18MM</t>
  </si>
  <si>
    <t>I-00001091</t>
  </si>
  <si>
    <t>15.01.41</t>
  </si>
  <si>
    <t>ARMACAO VERTICAL COM HASTE E CONTRA-PINO, EM CHAPA DE ACO GALVANIZADO 3/16", COM 1 ESTRIBO E 1 ISOLADOR</t>
  </si>
  <si>
    <t>15.01.42</t>
  </si>
  <si>
    <t>FORNECIMENTO DE ISOLADOR ROLDANA DE PORCELANA</t>
  </si>
  <si>
    <t>15.01.43</t>
  </si>
  <si>
    <t>FITA METÁLICA PERFURADA</t>
  </si>
  <si>
    <t>15.01.44</t>
  </si>
  <si>
    <t>FECHO PARA FITA AÇO INOX 3/4 E 1/2", FUSIMEC OU SIMILAR - FORNECIMENTO</t>
  </si>
  <si>
    <t>15.01.45</t>
  </si>
  <si>
    <t>ELETRODUTO DE PVC RÍGIDO ROSCÁVEL, DIÂM = 85MM (3")</t>
  </si>
  <si>
    <t>15.01.46</t>
  </si>
  <si>
    <t>CURVA 90 GRAUS PARA ELETRODUTO, PVC, ROSCÁVEL, DN 85 MM (3") - FORNECIMENTO E INSTALAÇÃO. AF_12/2015</t>
  </si>
  <si>
    <t>15.01.47</t>
  </si>
  <si>
    <t>LUVA PARA ELETRODUTO DE PVC RÍGIDO ROSCÁVEL, DIÂM = 85MM (3")</t>
  </si>
  <si>
    <t>15.01.48</t>
  </si>
  <si>
    <t>BUCHA DE ALUMÍNIO P/ ELETRODUTO D=4"</t>
  </si>
  <si>
    <t>15.01.49</t>
  </si>
  <si>
    <t>ARRUELA DE ALUMÍNIO P/ ELETRODUTO D=4"</t>
  </si>
  <si>
    <t>I-00040535</t>
  </si>
  <si>
    <t>15.01.50</t>
  </si>
  <si>
    <t>PERFIL "U" SIMPLES DE ACO GALVANIZADO DOBRADO 75 X *40* MM, E = 2,65 MM</t>
  </si>
  <si>
    <t>15.01.51</t>
  </si>
  <si>
    <t>LAÇO PLÁSTICO TOPO PARA CABO COBERTO</t>
  </si>
  <si>
    <t>I-04634</t>
  </si>
  <si>
    <t>15.01.52</t>
  </si>
  <si>
    <t>BRAÇO TIPO "C" 15KV</t>
  </si>
  <si>
    <t>I-10508</t>
  </si>
  <si>
    <t>15.01.53</t>
  </si>
  <si>
    <t>ANEL DE AMARRAÇÃO EM SILICONE PARA ISOLADOR POLIMÉRICO DE 25 KV</t>
  </si>
  <si>
    <t xml:space="preserve">I-01671 </t>
  </si>
  <si>
    <t>15.01.54</t>
  </si>
  <si>
    <t>PARAFUSO CABEÇA ABAULADA 16 X 45MM</t>
  </si>
  <si>
    <t>I-01672</t>
  </si>
  <si>
    <t>15.01.55</t>
  </si>
  <si>
    <t>PARAFUSO CABEÇA ABAULADA 16 X 70MM</t>
  </si>
  <si>
    <t>I-00001096</t>
  </si>
  <si>
    <t>15.01.56</t>
  </si>
  <si>
    <t>ARMACAO VERTICAL COM HASTE E CONTRA-PINO, EM CHAPA DE ACO GALVANIZADO 3/16", COM 4 ESTRIBOS E 4 ISOLADORES</t>
  </si>
  <si>
    <t>15.02</t>
  </si>
  <si>
    <t>ALIMENTADORES - ELÉTRICO</t>
  </si>
  <si>
    <t>15.02.01</t>
  </si>
  <si>
    <t>QUADRO DE MEDIÇÃO TRIFÁSICA EM NORIL COM LENTE PARA LEITURA</t>
  </si>
  <si>
    <t>15.02.02</t>
  </si>
  <si>
    <t>QUADRO DE DISTRIBUIÇÃO DE ENERGIA EM CHAPA DE AÇO GALVANIZADO, DE EMBUTIR, COM BARRAMENTO TRIFÁSICO, PARA 12 DISJUNTORES DIN 100A - FORNECIMENTO E INSTALAÇÃO. AF_10/2020</t>
  </si>
  <si>
    <t>15.02.03</t>
  </si>
  <si>
    <t>CAIXA DE PASSAGEM PARA TELEFONE, PADRÃO TELEBRAS, 40X40X12CM, EM CHAPA AÇO GALV. - FORNECIMENTO</t>
  </si>
  <si>
    <t>15.02.04</t>
  </si>
  <si>
    <t>FORNECIMENTO E INSTALAÇÃO DE ELETROCALHA PERFURADA 38 X 38 X 6000MM, CHAPA 16 ( REF.: MOPA OU SIMILAR)</t>
  </si>
  <si>
    <t>15.02.05</t>
  </si>
  <si>
    <t>CURVA HORIZONTAL 38 X 38 MM PARA ELETROCALHA METÁLICA, COM ÂNGULO 90° (REF.: MOPA OU SIMILAR)</t>
  </si>
  <si>
    <t>15.02.06</t>
  </si>
  <si>
    <t>JUNÇÃO INTERNA TIPO "I" PARA PERFILADO, ( REF.: MOPA OU SIMILAR)</t>
  </si>
  <si>
    <t>15.02.07</t>
  </si>
  <si>
    <t>JUNÇÃO INTERNA TIPO "X" PARA PERFILADO, ( REF.: MOPA OU SIMILAR)</t>
  </si>
  <si>
    <t>15.02.08</t>
  </si>
  <si>
    <t>GANCHO LONGO PARA PERFILADO, ( REF.: MOPA OU SIMILAR)</t>
  </si>
  <si>
    <t>15.02.09</t>
  </si>
  <si>
    <t>JUNÇÃO INTERNA TIPO "T" PARA PERFILADO, ( REF.: MOPA OU SIMILAR)</t>
  </si>
  <si>
    <t>15.02.10</t>
  </si>
  <si>
    <t>SAÍDA PARA PERFILADO 38X38MM (MOPA OU SIMILAR)</t>
  </si>
  <si>
    <t>15.02.11</t>
  </si>
  <si>
    <t>15.02.12</t>
  </si>
  <si>
    <t>CAIXA DE PASSAGEM 30X30CM EM CHAPA DE AÇO GALVANIZADO - FORNECIMENTO</t>
  </si>
  <si>
    <t>15.02.13</t>
  </si>
  <si>
    <t>15.02.14</t>
  </si>
  <si>
    <t>CAIXA DE PASSAGEM EM ALVENARIA DE TIJOLOS MACIÇOS DIM. INT. = 0,60X0,60X1,00M</t>
  </si>
  <si>
    <t>15.02.15</t>
  </si>
  <si>
    <t>FORNECIMENTO E COLOCAÇÃO DE ANILHA PARA IDENTIFICAÇÃO</t>
  </si>
  <si>
    <t>15.02.16</t>
  </si>
  <si>
    <t>TERMINAL DE COMPRESSÃO PARA CABO DE 1,50 MM² - FORNECIMENTO E INSTALAÇÃO</t>
  </si>
  <si>
    <t>15.02.17</t>
  </si>
  <si>
    <t>TERMINAL DE COMPRESSÃO PARA CABO DE 2,50 MM² - FORNECIMENTO E INSTALAÇÃO</t>
  </si>
  <si>
    <t>15.02.18</t>
  </si>
  <si>
    <t>TERMINAL DE COMPRESSÃO PARA CABO DE 4 MM² - FORNECIMENTO E INSTALAÇÃO</t>
  </si>
  <si>
    <t>15.02.19</t>
  </si>
  <si>
    <t>TERMINAL DE COMPRESSÃO PARA CABO DE 6 MM² - FORNECIMENTO E INSTALAÇÃO</t>
  </si>
  <si>
    <t>15.02.20</t>
  </si>
  <si>
    <t>TERMINAL DE COMPRESSÃO PARA CABO DE 10 MM² - FORNECIMENTO E INSTALAÇÃO</t>
  </si>
  <si>
    <t>15.02.21</t>
  </si>
  <si>
    <t>TERMINAL DE COMPRESSÃO PARA CABO DE 16 MM² - FORNECIMENTO E INSTALAÇÃO</t>
  </si>
  <si>
    <t>15.02.22</t>
  </si>
  <si>
    <t>TERMINAL DE COMPRESSÃO PARA CABO DE 35 MM² - FORNECIMENTO E INSTALAÇÃO</t>
  </si>
  <si>
    <t>15.02.23</t>
  </si>
  <si>
    <t>TERMINAL DE COMPRESSÃO PARA CABO DE 70 MM² - FORNECIMENTO E INSTALAÇÃO</t>
  </si>
  <si>
    <t>15.02.24</t>
  </si>
  <si>
    <t>DISJUNTOR MONOPOLAR TIPO DIN, CORRENTE NOMINAL DE 20A - FORNECIMENTO E INSTALAÇÃO. AF_10/2020</t>
  </si>
  <si>
    <t>15.02.25</t>
  </si>
  <si>
    <t>DISJUNTOR MONOPOLAR TIPO DIN, CORRENTE NOMINAL DE 25A - FORNECIMENTO E INSTALAÇÃO. AF_10/2020</t>
  </si>
  <si>
    <t>15.02.26</t>
  </si>
  <si>
    <t>DISJUNTOR TRIPOLAR TIPO DIN, CORRENTE NOMINAL DE 25A - FORNECIMENTO E INSTALAÇÃO. AF_10/2020</t>
  </si>
  <si>
    <t>15.02.27</t>
  </si>
  <si>
    <t>DISJUNTOR TRIPOLAR TIPO DIN, CORRENTE NOMINAL DE 32A - FORNECIMENTO E INSTALAÇÃO. AF_10/2020</t>
  </si>
  <si>
    <t>15.02.28</t>
  </si>
  <si>
    <t>DISJUNTOR MONOPOLAR TIPO DIN, CORRENTE NOMINAL DE 40A - FORNECIMENTO E INSTALAÇÃO. AF_10/2020</t>
  </si>
  <si>
    <t>15.02.29</t>
  </si>
  <si>
    <t>DISJUNTOR TERMOMAGNETICO TRIPOLAR 70 A, PADRÃO DIN (EUROPEU - LINHA BRANCA), CURVA C, 10KA</t>
  </si>
  <si>
    <t>15.02.30</t>
  </si>
  <si>
    <t>DISJUNTOR TERMOMAGNÉTICO TRIPOLAR 175 A COM CAIXA MOLDADA 10 KA</t>
  </si>
  <si>
    <t>15.02.31</t>
  </si>
  <si>
    <t>DISJUNTOR TERMOMAGNETICO TRIPOLAR 175 A, PADRÃO DIN (EUROPEU - LINHA BRANCA), 10KA</t>
  </si>
  <si>
    <t>15.02.32</t>
  </si>
  <si>
    <t>ELETRODUTO RÍGIDO ROSCÁVEL, PVC, DN 60 MM (2"), PARA REDE ENTERRADA DE DISTRIBUIÇÃO DE ENERGIA ELÉTRICA - FORNECIMENTO E INSTALAÇÃO. AF_12/2021</t>
  </si>
  <si>
    <t>15.02.33</t>
  </si>
  <si>
    <t>CURVA 90 GRAUS PARA ELETRODUTO, PVC, ROSCÁVEL, DN 60 MM (2"), PARA REDE ENTERRADA DE DISTRIBUIÇÃO DE ENERGIA ELÉTRICA - FORNECIMENTO E INSTALAÇÃO. AF_12/2021</t>
  </si>
  <si>
    <t>15.02.34</t>
  </si>
  <si>
    <t>LUVA PARA ELETRODUTO, PVC, ROSCÁVEL, DN 60 MM (2"), PARA REDE ENTERRADA DE DISTRIBUIÇÃO DE ENERGIA ELÉTRICA - FORNECIMENTO E INSTALAÇÃO. AF_12/2021</t>
  </si>
  <si>
    <t>I-00316</t>
  </si>
  <si>
    <t>15.02.35</t>
  </si>
  <si>
    <t>BUCHA ALUMINIO P/ELETRODUTO D=2"</t>
  </si>
  <si>
    <t>I-39213</t>
  </si>
  <si>
    <t>15.02.36</t>
  </si>
  <si>
    <t>ARRUELA EM ALUMINIO, COM ROSCA, DE 2", PARA ELETRODUTO</t>
  </si>
  <si>
    <t>15.02.37</t>
  </si>
  <si>
    <t>ELETRODUTO DE PVC RÍGIDO ROSCÁVEL, DIÂM = 32MM (1")</t>
  </si>
  <si>
    <t>15.02.38</t>
  </si>
  <si>
    <t>CURVA PARA ELETRODUTO DE PVC RÍGIDO ROSCÁVEL, DIÂM = 32MM (1")</t>
  </si>
  <si>
    <t>15.02.39</t>
  </si>
  <si>
    <t>LUVA PARA ELETRODUTO, PVC, ROSCÁVEL, DN 32 MM (1"), PARA CIRCUITOS TERMINAIS, INSTALADA EM FORRO - FORNECIMENTO E INSTALAÇÃO. AF_03/2023</t>
  </si>
  <si>
    <t>I-39176</t>
  </si>
  <si>
    <t>15.02.40</t>
  </si>
  <si>
    <t>BUCHA EM ALUMINIO, COM ROSCA, DE 1", PARA ELETRODUTO</t>
  </si>
  <si>
    <t>I-39210</t>
  </si>
  <si>
    <t>15.02.41</t>
  </si>
  <si>
    <t>ARRUELA EM ALUMINIO, COM ROSCA, DE 1", PARA ELETRODUTO</t>
  </si>
  <si>
    <t>15.02.42</t>
  </si>
  <si>
    <t>CABO DE COBRE FLEXÍVEL ISOLADO, 70 MM², ANTI-CHAMA 0,6/1,0 KV, PARA REDE ENTERRADA DE DISTRIBUIÇÃO DE ENERGIA ELÉTRICA - FORNECIMENTO E INSTALAÇÃO. AF_12/2021</t>
  </si>
  <si>
    <t>15.02.43</t>
  </si>
  <si>
    <t>CABO DE COBRE FLEXÍVEL ISOLADO, 6 MM², ANTI-CHAMA 450/750 V, PARA CIRCUITOS TERMINAIS - FORNECIMENTO E INSTALAÇÃO. AF_12/2015CABO DE COBRE FLEXÍVEL ISOLADO, 35 MM², ANTI-CHAMA 0,6/1,0 KV, PARA REDE ENTERRADA DE DISTRIBUIÇÃO DE ENERGIA ELÉTRICA - FORNECIMENTO E INSTALAÇÃO. AF_12/2021</t>
  </si>
  <si>
    <t>15.02.44</t>
  </si>
  <si>
    <t>CABO DE COBRE FLEXÍVEL ISOLADO, 10 MM², ANTI-CHAMA 0,6/1,0 KV, PARA DISTRIBUIÇÃO - FORNECIMENTO E INSTALAÇÃO. AF_12/2015</t>
  </si>
  <si>
    <t>15.02.45</t>
  </si>
  <si>
    <t>CABO DE COBRE FLEXÍVEL ISOLADO, 6 MM², ANTI-CHAMA 0,6/1,0 KV, PARA CIRCUITOS TERMINAIS - FORNECIMENTO E INSTALAÇÃO. AF_03/2023</t>
  </si>
  <si>
    <t>15.02.46</t>
  </si>
  <si>
    <t>CABO DE COBRE FLEXÍVEL ISOLADO, 4 MM², ANTI-CHAMA 0,6/1,0 KV, PARA CIRCUITOS TERMINAIS - FORNECIMENTO E INSTALAÇÃO. AF_03/2023</t>
  </si>
  <si>
    <t>15.02.47</t>
  </si>
  <si>
    <t>CABO DE COBRE NÚ 50 MM2 - FORNECIMENTO E ASSENTAMENTO (2,27M/KG)</t>
  </si>
  <si>
    <t>15.03</t>
  </si>
  <si>
    <t>REDE ESTABILIZADA</t>
  </si>
  <si>
    <t>15.03.01</t>
  </si>
  <si>
    <r>
      <rPr>
        <sz val="11"/>
        <color indexed="8"/>
        <rFont val="Arial"/>
        <family val="2"/>
      </rPr>
      <t xml:space="preserve">TOMADA MÉDIA DE EMBUTIR (2 MÓDULOS), </t>
    </r>
    <r>
      <rPr>
        <b/>
        <u/>
        <sz val="11"/>
        <color indexed="8"/>
        <rFont val="Arial"/>
        <family val="2"/>
      </rPr>
      <t>2P+T 10 A</t>
    </r>
    <r>
      <rPr>
        <sz val="11"/>
        <color indexed="8"/>
        <rFont val="Arial"/>
        <family val="2"/>
      </rPr>
      <t xml:space="preserve">, INCLUINDO SUPORTE E PLACA - FORNECIMENTO E INSTALAÇÃO. AF_12/2015 </t>
    </r>
    <r>
      <rPr>
        <b/>
        <sz val="11"/>
        <color indexed="8"/>
        <rFont val="Arial"/>
        <family val="2"/>
      </rPr>
      <t>- LINHA PIAL PLUS OU SIMILAR</t>
    </r>
  </si>
  <si>
    <t>15.03.02</t>
  </si>
  <si>
    <t>TOMADA 2P+T, ABNT, 10 A, PARA PISO, COM PLACA EM METAL AMARELO E CAIXA PVC</t>
  </si>
  <si>
    <t>15.03.03</t>
  </si>
  <si>
    <t>FORNECIMENTO E INSTALAÇÃO DE TAMPA CEGA (ESPELHO LISO) PARA CAIXA 4" X 2"</t>
  </si>
  <si>
    <t>15.03.04</t>
  </si>
  <si>
    <t>PLACA CEGA PARA CAIXA DE PVC 4"X 4", P/ELETRODUTO</t>
  </si>
  <si>
    <t>15.03.05</t>
  </si>
  <si>
    <t>15.03.06</t>
  </si>
  <si>
    <t>DISJUNTOR MONOPOLAR TIPO DIN, CORRENTE NOMINAL DE 16A - FORNECIMENTO E INSTALAÇÃO. AF_10/2020</t>
  </si>
  <si>
    <t>15.03.07</t>
  </si>
  <si>
    <t>DISJUNTOR MONOPOLAR TIPO DIN, CORRENTE NOMINAL DE 20A - FORNECIMENTO E INSTALAÇÃO. AF_04/2016</t>
  </si>
  <si>
    <t>15.03.08</t>
  </si>
  <si>
    <t>ELETRODUTO FLEXÍVEL CORRUGADO, PVC, DN 25 MM (3/4"), PARA CIRCUITOS TERMINAIS, INSTALADO EM PAREDE - FORNECIMENTO E INSTALAÇÃO. AF_12/2015</t>
  </si>
  <si>
    <t>15.03.09</t>
  </si>
  <si>
    <t>CABO DE COBRE FLEXÍVEL ISOLADO, 2,5 MM², ANTI-CHAMA 450/750 V, PARA CIRCUITOS TERMINAIS - FORNECIMENTO E INSTALAÇÃO. AF_12/2015</t>
  </si>
  <si>
    <t>15.04</t>
  </si>
  <si>
    <t>ATERRAMENTO - SPDA</t>
  </si>
  <si>
    <t>15.04.01</t>
  </si>
  <si>
    <t xml:space="preserve">PÁRA-RAIO TIPO FRANKLIN 350MM, LATÃO CROMADO, PARA DESCIDA 1 CABO, C/SUPORTE E CONECTORES P/CABO TERRA, INCLUSIVE MASTRO AÇO GALV 3MX2" E BASE </t>
  </si>
  <si>
    <t>15.04.02</t>
  </si>
  <si>
    <t>TERMINAL AÉREO EM AÇO GALVANIZADO 3/8" X 50CM, COM FIXAÇÃO HORIZONTAL</t>
  </si>
  <si>
    <t>15.04.03</t>
  </si>
  <si>
    <t>CLIPS 5/8" PARA HASTE DE ATERRAMENTO GALVANIZADA REF:TEL-5238</t>
  </si>
  <si>
    <t>15.04.04</t>
  </si>
  <si>
    <t>CONECTOR SPLIT BOLT PARA CABO DE COBRE NU #35 MM2 - FORNECIMENTO E INSTALAÇÃO</t>
  </si>
  <si>
    <t>15.04.05</t>
  </si>
  <si>
    <t>CONECTOR DE PRESSÃO PARA CABO NU DE 35MM² - FORNECIMENTO E INSTALAÇÃO</t>
  </si>
  <si>
    <t>15.04.06</t>
  </si>
  <si>
    <t>FIXADOR TIPO ÔMEGA EM COBRE, L=15MM, C/FUROS D=5,5MM E TRAVA P/CABO DE 35MM², REF:TEL-833 OU SIMILAR (P/SPDA)</t>
  </si>
  <si>
    <t>15.04.07</t>
  </si>
  <si>
    <t>PRESILHA DE LATÃO, L=20MM, PARA FIXAÇÃO DE CABOS DE COBRE, FURO D=5MM, PARA CABOS 35MM² A 50MM², REF:TEL-744 OU SIMILAR (SPDA)</t>
  </si>
  <si>
    <t>15.04.08</t>
  </si>
  <si>
    <t>PARAFUSO AUTO-ATARRAXANTE EM AÇO INOX - 4,2 X 32MM - FORNECIMENTO E COLOCAÇÃO</t>
  </si>
  <si>
    <t>15.04.09</t>
  </si>
  <si>
    <t>BARRA DE AÇO REDONDA RE-BAR3/8" X 3,00M</t>
  </si>
  <si>
    <t>15.04.10</t>
  </si>
  <si>
    <t>GRAMPO ESTAMPADO TIPO "X", EM COBRE, COM 04 PARAFUSOS, PARA CABOS DE COBRE NU 35MM² - TEL- 853 (SPDA)</t>
  </si>
  <si>
    <t>15.04.11</t>
  </si>
  <si>
    <t>15.04.12</t>
  </si>
  <si>
    <t xml:space="preserve">I-11277 </t>
  </si>
  <si>
    <t>15.04.13</t>
  </si>
  <si>
    <t>ALICATE DE PRESSÃO PARA SOLDA DE CHAPA 18" (460MM), REF.138 Z GEDORE</t>
  </si>
  <si>
    <t>I-00014153</t>
  </si>
  <si>
    <t>15.04.14</t>
  </si>
  <si>
    <t>FITA METALICA PERFURADA, L = *18* MM, ROLO DE 30 M, CARGA RECOMENDADA = *30* KGF</t>
  </si>
  <si>
    <t>15.04.15</t>
  </si>
  <si>
    <t>HASTE DE ATERRAMENTO 5/8 PARA SPDA - FORNECIMENTO E INSTALAÇÃO. AF_12/2017</t>
  </si>
  <si>
    <t>15.04.16</t>
  </si>
  <si>
    <t>FORNECIMENTO DE CARTUCHO PARA SOLDA EXOTÉRMICA</t>
  </si>
  <si>
    <t>15.04.17</t>
  </si>
  <si>
    <t>FORNECIMENTO DE CARTUCHO PARA SOLDA EXOTÉRMICA PARA CABO 95 MM²</t>
  </si>
  <si>
    <t>15.04.18</t>
  </si>
  <si>
    <t>FORNECIMENTO DE CARTUCHO PARA SOLDA EXOTÉRMICA PARA CABO 35 MM²</t>
  </si>
  <si>
    <t>15.04.19</t>
  </si>
  <si>
    <t>CABO DE COBRE NÚ 35 MM2 - FORNECIMENTO E ASSENTAMENTO (3,16M/KG)</t>
  </si>
  <si>
    <t>15.04.20</t>
  </si>
  <si>
    <t>15.04.21</t>
  </si>
  <si>
    <t xml:space="preserve">TERMINAL DE COMPRESSÃO PARA CABO DE 35 MM² - FORNECIMENTO E INSTALAÇÃO </t>
  </si>
  <si>
    <t>15.04.22</t>
  </si>
  <si>
    <t>TERMINAL OU CONECTOR DE PRESSÃO - PARA CABO 50MM² - FORNECIMENTO E INSTALAÇÃO</t>
  </si>
  <si>
    <t>15.04.23</t>
  </si>
  <si>
    <t>PARAFUSO COM BUCHA S-8</t>
  </si>
  <si>
    <t>15.04.24</t>
  </si>
  <si>
    <t>CAIXA DE EQUIPOTENCIALIZAÇÃO EM AÇO 200X200X90MM, PARA EMBUTIR COM TAMPA, COM 9 TERMINAIS, REF:TEL-901 OU SIMILAR (SPDA)</t>
  </si>
  <si>
    <t>15.04.25</t>
  </si>
  <si>
    <t>ELETRODUTO RÍGIDO ROSCÁVEL, PVC, DN 75 MM (2 1/2"), PARA REDE ENTERRADA DE DISTRIBUIÇÃO DE ENERGIA ELÉTRICA - FORNECIMENTO E INSTALAÇÃO. AF_12/2021</t>
  </si>
  <si>
    <t>15.04.26</t>
  </si>
  <si>
    <t>CAIXA INSPEÇÃO EM POLIAMIDA 150X110X70MM, BOCAL 1" (DN 32MM), REF: TEL-541 (SPDA)</t>
  </si>
  <si>
    <t>15.04.27</t>
  </si>
  <si>
    <t>CAIXA DE INSPEÇÃO PARA ATERRAMENTO, CIRCULAR, EM POLIETILENO, DIÂMETRO INTERNO = 0,3 M. AF_05/2018</t>
  </si>
  <si>
    <t>15.05</t>
  </si>
  <si>
    <t>ELÉTRICO ÁREA INTERNA</t>
  </si>
  <si>
    <t>15.05.01</t>
  </si>
  <si>
    <r>
      <rPr>
        <sz val="11"/>
        <color indexed="8"/>
        <rFont val="Arial"/>
        <family val="2"/>
      </rPr>
      <t>TOMADA MÉDIA DE EMBUTIR (2 MÓDULOS),</t>
    </r>
    <r>
      <rPr>
        <b/>
        <u/>
        <sz val="11"/>
        <color indexed="8"/>
        <rFont val="Arial"/>
        <family val="2"/>
      </rPr>
      <t xml:space="preserve"> 2P+T 10 A</t>
    </r>
    <r>
      <rPr>
        <sz val="11"/>
        <color indexed="8"/>
        <rFont val="Arial"/>
        <family val="2"/>
      </rPr>
      <t xml:space="preserve">, INCLUINDO SUPORTE E PLACA - FORNECIMENTO E INSTALAÇÃO. AF_12/2015 </t>
    </r>
    <r>
      <rPr>
        <b/>
        <sz val="11"/>
        <color indexed="8"/>
        <rFont val="Arial"/>
        <family val="2"/>
      </rPr>
      <t>- LINHA PIAL PLUS OU SIMILAR</t>
    </r>
  </si>
  <si>
    <t>15.05.02</t>
  </si>
  <si>
    <r>
      <rPr>
        <sz val="11"/>
        <color indexed="8"/>
        <rFont val="Arial"/>
        <family val="2"/>
      </rPr>
      <t xml:space="preserve">TOMADA MÉDIA DE EMBUTIR (1 MÓDULO), </t>
    </r>
    <r>
      <rPr>
        <b/>
        <u/>
        <sz val="11"/>
        <color indexed="8"/>
        <rFont val="Arial"/>
        <family val="2"/>
      </rPr>
      <t>2P+T 20 A</t>
    </r>
    <r>
      <rPr>
        <sz val="11"/>
        <color indexed="8"/>
        <rFont val="Arial"/>
        <family val="2"/>
      </rPr>
      <t xml:space="preserve">, INCLUINDO SUPORTE E PLACA - FORNECIMENTO E INSTALAÇÃO. AF_12/2015 </t>
    </r>
    <r>
      <rPr>
        <b/>
        <sz val="11"/>
        <color indexed="8"/>
        <rFont val="Arial"/>
        <family val="2"/>
      </rPr>
      <t>- LINHA PIAL PLUS OU SIMILAR</t>
    </r>
  </si>
  <si>
    <t>15.05.03</t>
  </si>
  <si>
    <r>
      <rPr>
        <sz val="11"/>
        <color rgb="FF000000"/>
        <rFont val="Arial"/>
      </rPr>
      <t xml:space="preserve">TOMADA MÉDIA DE EMBUTIR (1 MÓDULO), </t>
    </r>
    <r>
      <rPr>
        <b/>
        <u/>
        <sz val="11"/>
        <color rgb="FF000000"/>
        <rFont val="Arial"/>
      </rPr>
      <t>2P+T 10 A</t>
    </r>
    <r>
      <rPr>
        <sz val="11"/>
        <color rgb="FF000000"/>
        <rFont val="Arial"/>
      </rPr>
      <t>, INCLUINDO SUPORTE E PLACA - FORNECIMENTO E INSTALAÇÃO. AF_12/2015</t>
    </r>
    <r>
      <rPr>
        <b/>
        <sz val="11"/>
        <color rgb="FF000000"/>
        <rFont val="Arial"/>
      </rPr>
      <t xml:space="preserve">  - LINHA PIAL PLUS OU SIMILAR</t>
    </r>
  </si>
  <si>
    <t>15.05.04</t>
  </si>
  <si>
    <r>
      <rPr>
        <sz val="11"/>
        <color rgb="FF000000"/>
        <rFont val="Arial"/>
      </rPr>
      <t xml:space="preserve">TOMADA ALTA DE EMBUTIR (1 MÓDULO), </t>
    </r>
    <r>
      <rPr>
        <b/>
        <sz val="11"/>
        <color rgb="FF000000"/>
        <rFont val="Arial"/>
      </rPr>
      <t>2P+T 10 A</t>
    </r>
    <r>
      <rPr>
        <sz val="11"/>
        <color rgb="FF000000"/>
        <rFont val="Arial"/>
      </rPr>
      <t xml:space="preserve">, INCLUINDO SUPORTE E PLACA - FORNECIMENTO E INSTALAÇÃO. AF_03/2023 </t>
    </r>
    <r>
      <rPr>
        <b/>
        <sz val="11"/>
        <color rgb="FF000000"/>
        <rFont val="Arial"/>
      </rPr>
      <t>- LINHA PIAL PLUS OU SIMILAR - PARA LUMINÁRIA DE EMERGÊNCIA</t>
    </r>
  </si>
  <si>
    <t>15.05.05</t>
  </si>
  <si>
    <r>
      <rPr>
        <sz val="11"/>
        <color rgb="FF000000"/>
        <rFont val="Arial"/>
      </rPr>
      <t xml:space="preserve">INTERRUPTOR PARALELO (2 MÓDULOS), 10A/250V, INCLUINDO SUPORTE E PLACA - FORNECIMENTO E INSTALAÇÃO. AF_03/2023 </t>
    </r>
    <r>
      <rPr>
        <b/>
        <sz val="11"/>
        <color rgb="FF000000"/>
        <rFont val="Arial"/>
      </rPr>
      <t>- LINHA PIAL PLUS OU SIMILAR</t>
    </r>
  </si>
  <si>
    <t>15.05.06</t>
  </si>
  <si>
    <r>
      <rPr>
        <sz val="11"/>
        <color rgb="FF000000"/>
        <rFont val="Arial"/>
      </rPr>
      <t xml:space="preserve">INTERRUPTOR SIMPLES (1 MÓDULO) COM 1 TOMADA DE EMBUTIR 2P+T 10 A, INCLUINDO SUPORTE E PLACA - FORNECIMENTO E INSTALAÇÃO. AF_03/2023 </t>
    </r>
    <r>
      <rPr>
        <b/>
        <sz val="11"/>
        <color rgb="FF000000"/>
        <rFont val="Arial"/>
      </rPr>
      <t>- LINHA PIAL PLUS OU SIMILAR</t>
    </r>
  </si>
  <si>
    <t>15.05.07</t>
  </si>
  <si>
    <r>
      <rPr>
        <sz val="11"/>
        <color rgb="FF000000"/>
        <rFont val="Arial"/>
      </rPr>
      <t xml:space="preserve">INTERRUPTOR SIMPLES (2 MÓDULOS), 10A/250V, INCLUINDO SUPORTE E PLACA - FORNECIMENTO E INSTALAÇÃO. AF_03/2023 </t>
    </r>
    <r>
      <rPr>
        <b/>
        <sz val="11"/>
        <color rgb="FF000000"/>
        <rFont val="Arial"/>
      </rPr>
      <t>- LINHA PIAL PLUS OU SIMILAR</t>
    </r>
  </si>
  <si>
    <t>15.05.08</t>
  </si>
  <si>
    <r>
      <rPr>
        <sz val="11"/>
        <color rgb="FF000000"/>
        <rFont val="Arial"/>
      </rPr>
      <t xml:space="preserve">INTERRUPTOR SIMPLES (3 MÓDULOS), 10A/250V, INCLUINDO SUPORTE E PLACA - FORNECIMENTO E INSTALAÇÃO. AF_03/2023 </t>
    </r>
    <r>
      <rPr>
        <b/>
        <sz val="11"/>
        <color rgb="FF000000"/>
        <rFont val="Arial"/>
      </rPr>
      <t>- LINHA PIAL PLUS OU SIMILAR</t>
    </r>
  </si>
  <si>
    <t>15.05.09</t>
  </si>
  <si>
    <r>
      <rPr>
        <sz val="11"/>
        <color rgb="FF000000"/>
        <rFont val="Arial"/>
      </rPr>
      <t>INTERRUPTOR SIMPLES (1 MÓDULO) COM 1 TOMADA DE EMBUTIR 2P+T 10 A, INCLUINDO SUPORTE E PLACA - FORNECIMENTO E INSTALAÇÃO. AF_03/2023</t>
    </r>
    <r>
      <rPr>
        <b/>
        <sz val="11"/>
        <color rgb="FF000000"/>
        <rFont val="Arial"/>
      </rPr>
      <t xml:space="preserve"> - LINHA PIAL PLUS OU SIMILAR</t>
    </r>
  </si>
  <si>
    <t>15.05.10</t>
  </si>
  <si>
    <t>FORNECIMENTO E INSTALAÇÃO DE CONJUNTO 2 TOMADAS 10A PRETA DE PISO 4X4 – LATÃO – TPL019 - COM CAIXA DE ALUMÍNIO 4X4 PARA PISO</t>
  </si>
  <si>
    <t>15.05.11</t>
  </si>
  <si>
    <t>15.05.12</t>
  </si>
  <si>
    <t>CAIXA DE PASSAGEM PVC, 4" X 4" CM, EMBUTIR, P/ELETRODUTO</t>
  </si>
  <si>
    <t>15.05.13</t>
  </si>
  <si>
    <t>CAIXA OCTOGONAL 4" X 4", PVC, INSTALADA EM LAJE - FORNECIMENTO E INSTALAÇÃO. AF_12/2015</t>
  </si>
  <si>
    <t>15.05.14</t>
  </si>
  <si>
    <t>QUADRO DE DISTRIBUIÇÃO DE EMBUTIR, EM CHAPA DE AÇO, PARA ATÉ 16 DISJUNTORES, COM BARRAMENTO, PADRÃO DIN, EXCLUSIVE DISJUNTORES</t>
  </si>
  <si>
    <t>15.05.15</t>
  </si>
  <si>
    <t>CAIXA DE DERIVAÇÃO EM PVC 4" X 2" S/TAMPA, EMBUTIR, P/ELETRODUTO</t>
  </si>
  <si>
    <t>15.05.16</t>
  </si>
  <si>
    <t>15.05.17</t>
  </si>
  <si>
    <t>CAIXA DE PASSAGEM PVC 20 X 20CM, SISTEMA X, COM TAMPA</t>
  </si>
  <si>
    <t>15.05.18</t>
  </si>
  <si>
    <t>15.05.19</t>
  </si>
  <si>
    <t>CURVA 180 GRAUS PARA ELETRODUTO, PVC, ROSCÁVEL, DN 32 MM (1), PARA CIRCUITOS TERMINAIS, INSTALADA EM LAJE - FORNECIMENTO E INSTALAÇÃO. AF_12/2015</t>
  </si>
  <si>
    <t>15.05.20</t>
  </si>
  <si>
    <t>LUVA PARA ELETRODUTO, PVC, ROSCÁVEL, DN 32 MM (1"), PARA CIRCUITOS TERMINAIS, INSTALADA EM PAREDE - FORNECIMENTO E INSTALAÇÃO. AF_12/2015</t>
  </si>
  <si>
    <t>15.05.21</t>
  </si>
  <si>
    <t>CURVA 90 GRAUS PARA ELETRODUTO, PVC, ROSCÁVEL, DN 32 MM (1"), PARA CIRCUITOS TERMINAIS, INSTALADA EM PAREDE - FORNECIMENTO E INSTALAÇÃO. AF_12/2015</t>
  </si>
  <si>
    <t>15.05.22</t>
  </si>
  <si>
    <t>ELETRODUTO FLEXÍVEL CORRUGADO, PVC, DN 32 MM (1"), PARA CIRCUITOS TERMINAIS, INSTALADO EM PAREDE - FORNECIMENTO E INSTALAÇÃO. AF_03/2023</t>
  </si>
  <si>
    <t>15.05.23</t>
  </si>
  <si>
    <t>ELETRODUTO FLEXÍVEL CORRUGADO, PVC, DN 32 MM (1"), PARA CIRCUITOS TERMINAIS, INSTALADO EM LAJE - FORNECIMENTO E INSTALAÇÃO. AF_03/2023</t>
  </si>
  <si>
    <t>15.05.24</t>
  </si>
  <si>
    <t>DISJUNTOR MONOPOLAR TIPO DIN, CORRENTE NOMINAL DE 10A - FORNECIMENTO E INSTALAÇÃO. AF_10/2020</t>
  </si>
  <si>
    <t>15.05.25</t>
  </si>
  <si>
    <t>15.05.26</t>
  </si>
  <si>
    <t>15.05.27</t>
  </si>
  <si>
    <t>15.05.28</t>
  </si>
  <si>
    <t>CABO DE COBRE FLEXÍVEL ISOLADO, 6 MM², ANTI-CHAMA 450/750 V, PARA CIRCUITOS TERMINAIS - FORNECIMENTO E INSTALAÇÃO. AF_03/2023</t>
  </si>
  <si>
    <t>15.05.29</t>
  </si>
  <si>
    <t>CABO DE COBRE FLEXÍVEL ISOLADO, 1,5 MM², ANTI-CHAMA 450/750 V, PARA CIRCUITOS TERMINAIS - FORNECIMENTO E INSTALAÇÃO. AF_12/2015</t>
  </si>
  <si>
    <t>15.05.30</t>
  </si>
  <si>
    <t>15.05.31</t>
  </si>
  <si>
    <t>CABO DE COBRE FLEXÍVEL ISOLADO, 4 MM², ANTI-CHAMA 450/750 V, PARA CIRCUITOS TERMINAIS - FORNECIMENTO E INSTALAÇÃO. AF_12/2015</t>
  </si>
  <si>
    <t>15.05.32</t>
  </si>
  <si>
    <t>CANALETA PLÁSTICA 25MM X 25MM, SCHNEIDER OU SIMILAR</t>
  </si>
  <si>
    <t>15.05.33</t>
  </si>
  <si>
    <t>LUMINÁRIA DE EMBUTIR ABERTA PARA LÂMPADA FLUORESCENTE 32/40W OU TUBO LED 2 X 18/20 W (TECNOLUX REF.FLE-8157/232 OU SIMILAR), COMPLETA, COM LAMPADA TUBO LED - REV 01</t>
  </si>
  <si>
    <t>15.05.34</t>
  </si>
  <si>
    <t>LUMINÁRIA DE EMBUTIR ABERTA PARA LÂMPADA FLUORESCENTE OU TUBO LED 2 X 18/20 W (TECNOLUX REF.FLE-8157/232 OU SIMILAR), COMPLETA, COM LAMPADA TUBO LED</t>
  </si>
  <si>
    <t>15.05.35</t>
  </si>
  <si>
    <t>EXAUSTOR PARA BANHEIRO, BIVOLT, REF.: C 80 A, DA VENTOKIT OU SIMILAR - FORNECIMENTO E INSTALAÇÃO</t>
  </si>
  <si>
    <t>15.06</t>
  </si>
  <si>
    <t>EQUIPAMENTOS DE ILUMINAÇÃO - ÁREA EXTERNA</t>
  </si>
  <si>
    <t>15.06.01</t>
  </si>
  <si>
    <t>LUMINÁRIA ARANDELA TIPO TARTARUGA PARA 1 LÂMPADA LED - FORNECIMENTO E INSTALAÇÃO. AF_11/2017</t>
  </si>
  <si>
    <t>15.06.02</t>
  </si>
  <si>
    <t>POSTE BALIZADOR PARA JARDIM, EM ALUMÍNIO PRETO, + LED 12 W BRANCO FRIO ST1301 ( STARLUMEN OU SIMILAR)</t>
  </si>
  <si>
    <t>15.06.03</t>
  </si>
  <si>
    <t>REFLETOR TR LED, CORPO EM ALUMINIO, VIDRO TEMPERADO, POTENCIA 30W, BIVOLT, TEMP.COR 3000K/6000K, IP-65, DA TASCHIBRA OU SIMILAR</t>
  </si>
  <si>
    <t>15.06.04</t>
  </si>
  <si>
    <t>SINALIZADOR DUPLO P/ ENTRADA VEÍCULOS (TECNOLUX REF. TW75 OU SIMILAR)</t>
  </si>
  <si>
    <t>15.06.05</t>
  </si>
  <si>
    <t>POSTE RETO TELECÔNICO FLANGEADO, GALVANIZADO, REF. PT - 100B/80L, H= 8 METROS, DA METAL LIGHT OU SIMILAR, COM 03 PROJETORES REF.: IE-532/2 DA METAL LIGHT OU SIMILAR, INCLUSIVE LÂMPADA E REATOR</t>
  </si>
  <si>
    <t>15.06.06</t>
  </si>
  <si>
    <t>CAIXA DE PASSAGEM PVC 15X15X8CM P/ELETRICA, TIPO AQUATIC OU SIMILAR</t>
  </si>
  <si>
    <t>15.06.07</t>
  </si>
  <si>
    <t xml:space="preserve">CAIXA DE PASSAGEM EM ALVENARIA DE TIJOLOS MACIÇOS ESP. = 0,12M, DIM. INT. = 0,30 X 0,30 X 0,50M </t>
  </si>
  <si>
    <t xml:space="preserve"> </t>
  </si>
  <si>
    <t>15.07</t>
  </si>
  <si>
    <t>CABEAMENTO ESTRUTURADO</t>
  </si>
  <si>
    <t>15.07.01</t>
  </si>
  <si>
    <t>FORNECIMENTO E MONTAGEM DE GUIA DE CABOS HORIZONTAIS FECHADO DE CORPO DE AÇO SAE 1020, PROF=40MM</t>
  </si>
  <si>
    <t>15.07.02</t>
  </si>
  <si>
    <t>BANDEJA PARA RACK 19", DESLIZANTE, PERFURADA, 400MM DE PROFUNDIDADE</t>
  </si>
  <si>
    <t>15.07.03</t>
  </si>
  <si>
    <t>FORNECIMENTO E INSTALAÇÃO DE PATCH CORDS CAT.6 C/2,50M - REV 02</t>
  </si>
  <si>
    <t>15.07.04</t>
  </si>
  <si>
    <t>FORNECIMENTO E INSTALAÇÃO DE CONECTOR RJ 45 MACHO CAT 6</t>
  </si>
  <si>
    <t>15.07.05</t>
  </si>
  <si>
    <t>CAIXA DE PASSAGEM PARA TELEFONE, PADRÃO TELEBRÁS, 60 X 60 X 12 CM, EM CHAPA AÇO GALVANIZ.</t>
  </si>
  <si>
    <t>I-00049</t>
  </si>
  <si>
    <t>15.07.06</t>
  </si>
  <si>
    <t xml:space="preserve">CABISTA PARA INSTALAÇÃO TELEFÔNICA </t>
  </si>
  <si>
    <t>15.07.07</t>
  </si>
  <si>
    <t>ENCARGOS COMPLEMENTARES - CABISTA</t>
  </si>
  <si>
    <t>15.07.08</t>
  </si>
  <si>
    <t>ELETRICISTA COM ENCARGOS COMPLEMENTARES</t>
  </si>
  <si>
    <t>15.07.09</t>
  </si>
  <si>
    <t>CAIXA DE PASSAGEM PVC, 4" X 2" CM, EMBUTIR, P/ELETRODUTO</t>
  </si>
  <si>
    <t>15.07.10</t>
  </si>
  <si>
    <t>15.07.11</t>
  </si>
  <si>
    <t>15.07.12</t>
  </si>
  <si>
    <t>15.07.13</t>
  </si>
  <si>
    <t>TOMADA DUPLA PARA LÓGICA RJ45, 4"X2", EMBUTIR, COMPLETA, REF.0605, FAME OU SIMILAR</t>
  </si>
  <si>
    <t>15.07.14</t>
  </si>
  <si>
    <t>TOMADA PARA LÓGICA, RJ45, COM CAIXA SOBREPOR, APARENTE</t>
  </si>
  <si>
    <t>15.07.15</t>
  </si>
  <si>
    <t>TOMADA DUPLA PARA LÓGICA RJ45, 4"X4", EMBUTIR, COMPLETA</t>
  </si>
  <si>
    <t>15.07.16</t>
  </si>
  <si>
    <t>PLACA CEGA PARA CAIXA DE PVC 4" X 2", P/ ELETRODUTO</t>
  </si>
  <si>
    <t>15.07.17</t>
  </si>
  <si>
    <t>15.07.18</t>
  </si>
  <si>
    <t>ELETRODUTO RÍGIDO ROSCÁVEL, PVC, DN 32 MM (1"), PARA CIRCUITOS TERMINAIS, INSTALADO EM PAREDE - FORNECIMENTO E INSTALAÇÃO. AF_12/2015</t>
  </si>
  <si>
    <t>15.07.19</t>
  </si>
  <si>
    <t>15.07.20</t>
  </si>
  <si>
    <t>15.07.21</t>
  </si>
  <si>
    <t>BUCHA COM ARRUELA EM LIGA ESPECIAL ZAMAK P/ELETRODUTO 25MM, D=1"</t>
  </si>
  <si>
    <t>15.07.22</t>
  </si>
  <si>
    <t>ELETRODUTO RÍGIDO ROSCÁVEL, PVC, DN 40 MM (1 1/4"), PARA CIRCUITOS TERMINAIS, INSTALADO EM PAREDE - FORNECIMENTO E INSTALAÇÃO. AF_12/2015</t>
  </si>
  <si>
    <t>15.07.23</t>
  </si>
  <si>
    <t>CURVA PARA ELETRODUTO DE PVC RÍGIDO ROSCÁVEL, DIÂM = 40MM (1 1/4")</t>
  </si>
  <si>
    <t>15.07.24</t>
  </si>
  <si>
    <t>LUVA PARA ELETRODUTO DE PVC RÍGIDO ROSCÁVEL, DIA=40MM (1 1/ 4")</t>
  </si>
  <si>
    <t>15.07.25</t>
  </si>
  <si>
    <t>BUCHA COM ARRUELA EM LIGA ESPECIAL ZAMAK P/ELETRODUTO 32MM, D=1 1/4"</t>
  </si>
  <si>
    <t>15.07.26</t>
  </si>
  <si>
    <t>ELETRODUTO FLEXÍVEL CORRUGADO, PVC, DN 25 MM (3/4"), PARA CIRCUITOS TERMINAIS, INSTALADO EM FORRO - FORNECIMENTO E INSTALAÇÃO. AF_12/2015</t>
  </si>
  <si>
    <t>I-00001900</t>
  </si>
  <si>
    <t>15.07.27</t>
  </si>
  <si>
    <t>LUVA DE PRESSAO, EM PVC, DE 32 MM, PARA ELETRODUTO FLEXIVEL</t>
  </si>
  <si>
    <t>15.07.28</t>
  </si>
  <si>
    <t>FORNECIMENTO E INSTALAÇÃO DE ELETROCALHA PERFURADA 300 X 100 X 3000 MM (REF. MOPA OU SIMILAR)</t>
  </si>
  <si>
    <t>15.07.29</t>
  </si>
  <si>
    <t>CURVA HORIZONTAL 300 X 100 MM PARA ELETROCALHA METÁLICA, COM ÂNGULO 90° (REF.: MOPA OU SIMILAR)</t>
  </si>
  <si>
    <t>15.07.30</t>
  </si>
  <si>
    <t>CURVA DE INVERSÃO 300 X 100 MM PARA ELETROCALHA METÁLICA (REF.: MOPA OU SIMILAR)</t>
  </si>
  <si>
    <t>15.07.31</t>
  </si>
  <si>
    <t>TÊ HORIZONTAL 300 X 100 MM PARA ELETROCALHA METÁLICA (REF. MOPA OU SIMILAR)</t>
  </si>
  <si>
    <t>15.07.32</t>
  </si>
  <si>
    <t>CRUZETA 400 X 100 MM PARA ELETROCALHA PERFURADA METÁLICA (REF.: MOPA OU SIMILAR)</t>
  </si>
  <si>
    <t>15.07.33</t>
  </si>
  <si>
    <t>REDUÇÃO CONCÊNTRICA 300 X 100 X 100MM PARA ELETROCALHA METÁLICA (REF. MOPA OU SIMILAR)</t>
  </si>
  <si>
    <t>15.07.34</t>
  </si>
  <si>
    <t>JUNÇÃO PARA ELETROCALHA METÁLICA 100MM(REF. MOPA OU SIMILAR)</t>
  </si>
  <si>
    <t>15.07.35</t>
  </si>
  <si>
    <t>15.07.36</t>
  </si>
  <si>
    <t>SUPORTE HORIZONTAL 300 X 100 MM PARA FIXAÇÃO DE ELETROCALHA METÁLICA (REF.: MOPA OU SIMILAR)</t>
  </si>
  <si>
    <t>15.07.37</t>
  </si>
  <si>
    <t>15.07.38</t>
  </si>
  <si>
    <t>15.07.39</t>
  </si>
  <si>
    <t>FORNECIMENTO E INSTALAÇÃO DE PORCA SEXTAVADA 3/8" (REF VL 1.55 VALEMAM OU SIMILAR)</t>
  </si>
  <si>
    <t>15.07.40</t>
  </si>
  <si>
    <t>ARRUELA LISA DE 3/8"</t>
  </si>
  <si>
    <t>15.07.41</t>
  </si>
  <si>
    <t>PARAFUSO CABEÇA LENTILHA AUTO-TRAVANTE 1/4" X 3/4", BICROMATIZADA</t>
  </si>
  <si>
    <t>15.07.42</t>
  </si>
  <si>
    <t>ARRUELA LISA ZINCADA D=1/4"</t>
  </si>
  <si>
    <t>15.07.43</t>
  </si>
  <si>
    <t>PORCA SEXTAVADA ZINCADA 1/4" (FORNECIMENTO E COLOCAÇÃO)</t>
  </si>
  <si>
    <t>15.07.44</t>
  </si>
  <si>
    <t>FORNECIMENTO E LANÇAMENTO DE CABO UTP 4 PARES CAT 6</t>
  </si>
  <si>
    <t>15.07.45</t>
  </si>
  <si>
    <t>15.07.46</t>
  </si>
  <si>
    <t>15.07.47</t>
  </si>
  <si>
    <t>DUTO CORRUGADO FLEXÍVEL EM PEAD Ø = 1.1/4', TIPO KANALEX OU SIMILAR, LANÇADO DIRETAMENTE NO SOLO, EXCLUSIVE ESCAVAÇÃO E REATERRO</t>
  </si>
  <si>
    <t>15.08</t>
  </si>
  <si>
    <t>CFTV</t>
  </si>
  <si>
    <t>I-06698</t>
  </si>
  <si>
    <t>15.08.01</t>
  </si>
  <si>
    <t>TÉCNICO EM INFORMÁTICA - 40H - REV 02"</t>
  </si>
  <si>
    <t>15.08.02</t>
  </si>
  <si>
    <t>15.08.03</t>
  </si>
  <si>
    <t>FORNECIMENTO E INSTALAÇÃO DE PATCH CORD, CAT. 6, C/ 2,50 M - REV. 02</t>
  </si>
  <si>
    <t>15.08.04</t>
  </si>
  <si>
    <t>15.08.05</t>
  </si>
  <si>
    <t>15.08.06</t>
  </si>
  <si>
    <t>15.08.07</t>
  </si>
  <si>
    <t>TOMADA PARA LÓGICA RJ45, COM CAIXA PVC, EMBUTIDA, CAT. 6</t>
  </si>
  <si>
    <t>15.08.08</t>
  </si>
  <si>
    <t>15.08.09</t>
  </si>
  <si>
    <t>15.08.10</t>
  </si>
  <si>
    <t>CAIXA DE PASSAGEM PVC 20 X 20CM, SISTEMA "X", COM TAMPA</t>
  </si>
  <si>
    <t>15.08.11</t>
  </si>
  <si>
    <t>CAIXA DE PASSAGEM PARA TELEFONE, PADRÃO TELEBRÁS, 40X40X12CM, EM CHAPA AÇO GALV. - FORNECIMENTO</t>
  </si>
  <si>
    <t>15.08.12</t>
  </si>
  <si>
    <t>CAIXA DE DERIVAÇÃO EM PVC 4" X 2" C/TAMPA CEGA, EMBUTIR, P/ELETRODUTO</t>
  </si>
  <si>
    <t>15.08.13</t>
  </si>
  <si>
    <t>POSTE DE AÇO GALVANIZADO CÔNICO CONTÍNO RETO, DIÂMETRO SUPERIOR 60MM, DIÂMETRO DA BASE 115MM, ALTURA TOTAL 5M, CONIPOST REF. SÉRIE 0005/CLASSE 60 DA CONIPOST OU SIMILAR</t>
  </si>
  <si>
    <t>15.08.14</t>
  </si>
  <si>
    <t>ELETRODUTO FLEXÍVEL CORRUGADO, PEAD, DN 40 MM (1 1/4"), PARA CIRCUITOS TERMINAIS, INSTALADO EM FORRO - FORNECIMENTO E INSTALAÇÃO. AF_12/2015</t>
  </si>
  <si>
    <t>15.08.15</t>
  </si>
  <si>
    <t>ELETRODUTO FLEXÍVEL CORRUGADO, PEAD, DN 50 (1 ½) - FORNECIMENTO E INSTALAÇÃO. AF_04/2016</t>
  </si>
  <si>
    <t>15.08.16</t>
  </si>
  <si>
    <t>ELETRODUTO FLEXÍVEL CORRUGADO, PEAD, DN 63 (2") - FORNECIMENTO E INSTALAÇÃO. AF_04/2016</t>
  </si>
  <si>
    <t>15.08.17</t>
  </si>
  <si>
    <t>15.08.18</t>
  </si>
  <si>
    <t>15.08.19</t>
  </si>
  <si>
    <t>LUVA PARA ELETRODUTO DE PVC RÍGIDO ROSCÁVEL, DIÂM = 32MM (1")</t>
  </si>
  <si>
    <t>15.08.20</t>
  </si>
  <si>
    <t>15.08.21</t>
  </si>
  <si>
    <t>ELETRODUTO RÍGIDO ROSCÁVEL, PVC, DN 40 MM (1 1/4"), PARA CIRCUITOS TERMINAIS, INSTALADO EM FORRO - FORNECIMENTO E INSTALAÇÃO. AF_12/2015</t>
  </si>
  <si>
    <t>15.08.22</t>
  </si>
  <si>
    <t>15.08.23</t>
  </si>
  <si>
    <t>LUVA PARA ELETRODUTO DE PVC RÍGIDO ROSCÁVEL, DIÂM = 40MM (1 1/4")</t>
  </si>
  <si>
    <t>15.08.24</t>
  </si>
  <si>
    <t>15.08.25</t>
  </si>
  <si>
    <t>15.08.26</t>
  </si>
  <si>
    <t>ELETRODUTO FLEXÍVEL CORRUGADO REFORÇADO, PVC, DN 32 MM (1"), PARA CIRCUITOS TERMINAIS, INSTALADO EM FORRO - FORNECIMENTO E INSTALAÇÃO. AF_03/2023</t>
  </si>
  <si>
    <t xml:space="preserve">I-00001899 </t>
  </si>
  <si>
    <t>15.08.27</t>
  </si>
  <si>
    <t>LUVA DE PRESSAO, EM PVC, DE 25 MM, PARA ELETRODUTO FLEXIVEL</t>
  </si>
  <si>
    <t>15.08.28</t>
  </si>
  <si>
    <t>ELETRODUTO PVC FLEXIVEL CORRUGADO, REFORCADO, COR LARANJA, DE 32 MM, PARA LAJES E PISOS</t>
  </si>
  <si>
    <t>15.08.29</t>
  </si>
  <si>
    <t>15.08.30</t>
  </si>
  <si>
    <t>CAIXA DE PASSAGEM EM ALVENARIA DE TIJOLOS MACIÇOS ESP. = 0,12M, DIM. INT. = 0,30 X 0,30 X 0,30M</t>
  </si>
  <si>
    <t>16.00</t>
  </si>
  <si>
    <t>INSTALAÇÕES DE CLIMATIZAÇÃO</t>
  </si>
  <si>
    <t>16.01</t>
  </si>
  <si>
    <t>JOELHO 45 GRAUS, PVC, SERIE NORMAL, ESGOTO PREDIAL, DN 75 MM, JUNTA ELÁSTICA, FORNECIDO E INSTALADO EM PRUMADA DE ESGOTO SANITÁRIO OU VENTILAÇÃO. AF_08/2022</t>
  </si>
  <si>
    <t>16.02</t>
  </si>
  <si>
    <t>TUBO PVC, SERIE NORMAL, ESGOTO PREDIAL, DN 75 MM, FORNECIDO E INSTALADO EM PRUMADA DE ESGOTO SANITÁRIO OU VENTILAÇÃO. AF_08/2022</t>
  </si>
  <si>
    <t>16.03</t>
  </si>
  <si>
    <t>16.04</t>
  </si>
  <si>
    <t>TUBO PVC RÍGIDO C/ANEL BORRACHA, SERIE REFORÇADA, P/ESGOTO E AGUAS PLUVIAIS, D = 40MM - REV 01_11/2021</t>
  </si>
  <si>
    <t>16.05</t>
  </si>
  <si>
    <t>JOELHO DE 45° EM PVC RÍGIDO C/ ANÉIS, PARA ESGOTO SECUNDÁRIO, DIÂM = 40MM</t>
  </si>
  <si>
    <t>16.06</t>
  </si>
  <si>
    <t>JUNÇÃO 45° EM PVC RÍGIDO C/ ANÉIS, PARA ESGOTO SECUNDÁRIO, DIÂM = 40MM</t>
  </si>
  <si>
    <t>16.07</t>
  </si>
  <si>
    <t>FORNECIMENTO E INSTALAÇÃO DE TUBULAÇÃO EM COBRE P/ INTERLIGAÇÃO DO CONDENSADOR AO EVAPORADOR, INCLUSIVE ISOLAMENTO, ALIMENTAÇÃO ELÉTRICA, CONEXÕES E FIXAÇÕES, P/ CONDICIONADORES DE AR SPLIT SYSTEM ATÉ 48.000 BTU.</t>
  </si>
  <si>
    <t>16.08</t>
  </si>
  <si>
    <t>INSTALAÇÃO DE AR CONDICIONADO SPLIT (EVAPORADORA E CONDENSADORA), HI-WALL (PAREDE), ATÉ 9000 BTU/H</t>
  </si>
  <si>
    <t>16.09</t>
  </si>
  <si>
    <t>INSTALAÇÃO DE AR CONDICIONADO SPLIT (EVAPORADORA E CONDENSADORA), HI-WALL (PAREDE), DE 12000 BTU/H ATÉ 18000 BTU/H</t>
  </si>
  <si>
    <t>16.10</t>
  </si>
  <si>
    <t>INSTALAÇÃO DE AR CONDICIONADO SPLIT (EVAPORADORA E CONDENSADORA), HI-WALL (PAREDE), DE 24000 BTU/H ATÉ 30000 BTU/H"</t>
  </si>
  <si>
    <t>16.11</t>
  </si>
  <si>
    <t>GÁS REFRIGERANTE R22</t>
  </si>
  <si>
    <t>17.00</t>
  </si>
  <si>
    <t xml:space="preserve">INSTALAÇÕES DE GÁS </t>
  </si>
  <si>
    <t>17.01</t>
  </si>
  <si>
    <t>PIG TAIL OU CHICOTE FLEXÍVEL DE COBRE, B-190, PARA CONDUÇÃO DE GÁS</t>
  </si>
  <si>
    <t>17.02</t>
  </si>
  <si>
    <t>17.03</t>
  </si>
  <si>
    <t>COTOVELO EM COBRE, DN 22 MM, 90 GRAUS, SEM ANEL DE SOLDA, INSTALADO EM RAMAL DE DISTRIBUIÇÃO FORNECIMENTO E INSTALAÇÃO. AF_12/2015</t>
  </si>
  <si>
    <t>17.04</t>
  </si>
  <si>
    <t>TUBO DE COBRE RÍGIDO D= 22MM</t>
  </si>
  <si>
    <t>17.05</t>
  </si>
  <si>
    <t>CURVA DE LATÃO, COBRE OU BRONZE, JUNTAS SOLDADAS, DIÂM = 22MM (3/4")</t>
  </si>
  <si>
    <t>I-08690</t>
  </si>
  <si>
    <t>17.06</t>
  </si>
  <si>
    <t xml:space="preserve">ABRAÇADEIRA 22MM </t>
  </si>
  <si>
    <t>17.07</t>
  </si>
  <si>
    <t>REGULADOR DE GÁS 2º ESTÁGIO DE 7 KG/H (INSTALAÇÃO GÁS)</t>
  </si>
  <si>
    <t>17.08</t>
  </si>
  <si>
    <t>CANALETA EM BLOCOS DE CONCRETO TIPO "U" (CALHA) 12X19X39, PREENCHIDOS COM ARGAMASSA TRAÇO T5(1:2:8)</t>
  </si>
  <si>
    <t>17.09</t>
  </si>
  <si>
    <t>ARGAMASSA CAL E AREIA TRAÇO 1:4 - CONFECÇÃO MECÂNICA E TRANSPORTE</t>
  </si>
  <si>
    <t>18.00</t>
  </si>
  <si>
    <t>INSTALAÇÕES DE SONORIZAÇÃO</t>
  </si>
  <si>
    <t>18.01</t>
  </si>
  <si>
    <t>ELETRODUTO DE PVC RIGIDO ROSCAVEL, DIAM=25MM (3/4")</t>
  </si>
  <si>
    <t>18.02</t>
  </si>
  <si>
    <t>18.03</t>
  </si>
  <si>
    <t>FORNECIMENTO E INSTALAÇÃO DE ARANDELA TIPO SONOFLETOR DE TETO ACUSTICA 6" AXIAL</t>
  </si>
  <si>
    <t>19.00</t>
  </si>
  <si>
    <t>ELEMENTOS DECORATIVOS</t>
  </si>
  <si>
    <t>19.01</t>
  </si>
  <si>
    <t>BANCADAS DE GRANITO E RODAMÃO</t>
  </si>
  <si>
    <t>19.01.01</t>
  </si>
  <si>
    <r>
      <rPr>
        <sz val="11"/>
        <color indexed="8"/>
        <rFont val="Arial"/>
        <family val="2"/>
      </rPr>
      <t xml:space="preserve">BANCADA EM GRANITO VERDE UBATUBA, E = 2CM, COM FILETE 3CM  </t>
    </r>
    <r>
      <rPr>
        <b/>
        <sz val="11"/>
        <color indexed="8"/>
        <rFont val="Arial"/>
        <family val="2"/>
      </rPr>
      <t>- CONFORME DETALHES PROJETO ARQUITETONICO</t>
    </r>
  </si>
  <si>
    <t>19.01.02</t>
  </si>
  <si>
    <t>DIVISÓRIA EM GRANITO VERDE UBATUBA, POLIDO DOS DOIS LADOS, ACABAMENTO BOLEADO, E= 2CM, ASSENTADO COM ARGAMASSA TRACO 1:4, ARREMATE EM CIMENTO BRANCO, EXCLUSIVE FERRAGENS</t>
  </si>
  <si>
    <t>19.02</t>
  </si>
  <si>
    <t>ACESSÓRIOS</t>
  </si>
  <si>
    <t>19.02.01</t>
  </si>
  <si>
    <t>BICICLETÁRIO EM TUBO DE AÇO GALVANIZADO DIAM=50MM, EXCETO PINTURA DE ACABAMENTO</t>
  </si>
  <si>
    <t>19.02.02</t>
  </si>
  <si>
    <r>
      <rPr>
        <sz val="11"/>
        <color rgb="FF000000"/>
        <rFont val="Arial"/>
      </rPr>
      <t xml:space="preserve">MASTRO SIMPLES EM TUBO FERRO GALVANIZADO, ALT (ÚTIL)= 6,80M (3,80M X 2 + 2,20M X 1 1/2) - </t>
    </r>
    <r>
      <rPr>
        <b/>
        <sz val="11"/>
        <color rgb="FF000000"/>
        <rFont val="Arial"/>
      </rPr>
      <t>CONFORME DETALHES PROJETO ARQUITETONICO</t>
    </r>
  </si>
  <si>
    <t>19.02.03</t>
  </si>
  <si>
    <t>BASE PARA FIXAÇÃO DE MASTRO TRIPLO</t>
  </si>
  <si>
    <t>19.02.04</t>
  </si>
  <si>
    <t>ESCADA MARINHEIRO, COM DEGRAUS EM BARRA REDONDA DE 3/4", GUARDA-CORPO EM BARRA CHATA DE 1 1/2" X 1/4" E PATAMAR(1,05 X 0,95M) EM CHAPA EXPANDIDA DE 1/4</t>
  </si>
  <si>
    <t>19.02.05</t>
  </si>
  <si>
    <t>COMPENSADO 15MM C/ FORMICA BRILHANTE COLADA C/ FORMICOLA OU SIMILAR, PARA PAREDE</t>
  </si>
  <si>
    <t>COMP - 00/018</t>
  </si>
  <si>
    <t>19.02.06</t>
  </si>
  <si>
    <t>FORNECIMENTO E INSTALAÇÃO PAINEL EM MDF 15mm NA COR NOGAL ESCURO, DA MARCA DE REFERÊNCIA FÓRMICA NO SALÃO DE JURI</t>
  </si>
  <si>
    <t>19.03</t>
  </si>
  <si>
    <t xml:space="preserve">ACESSIBILIDADE </t>
  </si>
  <si>
    <t>19.03.01</t>
  </si>
  <si>
    <t>BARRA DE APOIO, RETA, FIXA, EM AÇO INOX, L=80CM, D=1 1/4", JACKWAL OU SIMILAR</t>
  </si>
  <si>
    <t>19.03.02</t>
  </si>
  <si>
    <t>BARRA DE APOIO, RETA, FIXA, EM AÇO INOX, L=70CM, D=1 1/4", JACKWAL OU SIMILAR</t>
  </si>
  <si>
    <t>19.03.03</t>
  </si>
  <si>
    <t>BARRA DE APOIO, RETA, FIXA, EM AÇO INOX, L=40CM, D=1 1/4", JACKWAL OU SIMILAR</t>
  </si>
  <si>
    <t>19.03.04</t>
  </si>
  <si>
    <t>GUARDA-CORPO H = 1,10M E CORRIMÃO EM AÇO INOX, BARRAS SUPERIORES ALT=0,92M E 0,70M E BARRA INFERIOR, DIAM= 1.1/2" R, BARRAS VERTICAIS D=3/4" A CADA 0,11M, CURVAS DE AÇO INOX. - ESCADA</t>
  </si>
  <si>
    <t>19.03.05</t>
  </si>
  <si>
    <t>PISO PODOTÁTIL DE ALERTA OU DIRECIONAL, DE CONCRETO, ASSENTADO SOBRE ARGAMASSA. AF_05/2023</t>
  </si>
  <si>
    <t>19.03.06</t>
  </si>
  <si>
    <t>PISO PODOTÁTIL DE ALERTA OU DIRECIONAL, DE PVC, ASSENTADO SOBRE ARGAMASSA. AF_05/2020</t>
  </si>
  <si>
    <t>19.03.07</t>
  </si>
  <si>
    <t>FITA ANTIDERRAPANTE SAFETY-WALK "3M" L=5CM OU SIMILAR</t>
  </si>
  <si>
    <t>19.04</t>
  </si>
  <si>
    <t>ACESSÓRIOS PARA BANHEIROS</t>
  </si>
  <si>
    <t>19.04.01</t>
  </si>
  <si>
    <t>ESPELHO DE CRISTAL 4MM COM MOLDURA DE ALUMÍNIO</t>
  </si>
  <si>
    <t>19.04.02</t>
  </si>
  <si>
    <t>EXECUÇÃO DE ACABAMENTO CHANFRADO (BISOTADO) EM BORDAS DE ESPELHO</t>
  </si>
  <si>
    <t>19.04.03</t>
  </si>
  <si>
    <t>19.04.04</t>
  </si>
  <si>
    <t>DISPENSER PARA SABONETE LÍQUIDO</t>
  </si>
  <si>
    <t>19.04.05</t>
  </si>
  <si>
    <t>DISPENSER PARA TOALHA INTERFOLHADA</t>
  </si>
  <si>
    <t>20.00</t>
  </si>
  <si>
    <t>SERVIÇOS COMPLEMENTARES</t>
  </si>
  <si>
    <t>20.01</t>
  </si>
  <si>
    <t>AJARDINAMENTO</t>
  </si>
  <si>
    <t>20.01.01</t>
  </si>
  <si>
    <t>GRAMA ESMERALDA EM PLACAS, FORNECIMENTO E PLANTIO</t>
  </si>
  <si>
    <t>20.01.02</t>
  </si>
  <si>
    <t>PEDRISCO</t>
  </si>
  <si>
    <t>20.01.03</t>
  </si>
  <si>
    <t>PLANTA ­ AGAVE DRAGÃO, FORNECIMENTO E PLANTIO</t>
  </si>
  <si>
    <t>20.01.04</t>
  </si>
  <si>
    <t>20.01.05</t>
  </si>
  <si>
    <t xml:space="preserve">PLANTA - PATA DE VACA (BAUHINIA FORTICATA), H=2,00M, FORNECIMENTO E PLANTIO </t>
  </si>
  <si>
    <t>20.01.06</t>
  </si>
  <si>
    <t>20.01.07</t>
  </si>
  <si>
    <t xml:space="preserve">FORNECIMENTO E PLANTIO DE PALMEIRA RABO DE RAPOSA, MEDIA </t>
  </si>
  <si>
    <t>20.01.08</t>
  </si>
  <si>
    <t xml:space="preserve">PLANTA - ZAMIOCULCA, FORNECIMENTO E PLANTIO </t>
  </si>
  <si>
    <t>20.01.09</t>
  </si>
  <si>
    <t xml:space="preserve">FORNECIMENTO E ESPALHAMENTO DE TERRA VEGETAL PREPARADA </t>
  </si>
  <si>
    <t>20.01.10</t>
  </si>
  <si>
    <t>LIMITADOR DE GRAMA COM BORDA FINA, L=12,5CM</t>
  </si>
  <si>
    <t>20.02</t>
  </si>
  <si>
    <t>COMUNICAÇÃO VISUAL</t>
  </si>
  <si>
    <t>20.02.01</t>
  </si>
  <si>
    <t>LOGOMARCA VERTICAL 150CM (FACHADA)</t>
  </si>
  <si>
    <t>20.02.02</t>
  </si>
  <si>
    <t>LOGOMARCA HORIZONTAL 150CM (PLENO)</t>
  </si>
  <si>
    <t>20.02.03</t>
  </si>
  <si>
    <t>LETREIRO COM ALTURA 20CM (FACHADA)</t>
  </si>
  <si>
    <t>20.02.04</t>
  </si>
  <si>
    <t>LETREIRO COM ALTURA 15CM (PLENÁRIO)</t>
  </si>
  <si>
    <t>20.02.05</t>
  </si>
  <si>
    <t>ADESIVAÇÃO EM VIDROS FAIXA CINZA 20CM</t>
  </si>
  <si>
    <t>20.02.06</t>
  </si>
  <si>
    <t>MURAL INFORMATIVO EM CHAPA DE ACRILICO 6MM</t>
  </si>
  <si>
    <t>20.02.07</t>
  </si>
  <si>
    <t>PLACA DE INAUGURAÇÃO E HOMENAGIADOS</t>
  </si>
  <si>
    <t>20.02.08</t>
  </si>
  <si>
    <t>PLACA DE IDENTIFICAÇÃO DAS PORTAS</t>
  </si>
  <si>
    <t>20.02.09</t>
  </si>
  <si>
    <t>PLACA DE COLUNA PARA ESTACIONAMENTO</t>
  </si>
  <si>
    <t>20.03</t>
  </si>
  <si>
    <t>LIMPEZA FINAL DA OBRA</t>
  </si>
  <si>
    <t>20.03.01</t>
  </si>
  <si>
    <t>LIMPEZA GERAL</t>
  </si>
  <si>
    <t>TOTAL DO ORÇAMENTO</t>
  </si>
  <si>
    <t xml:space="preserve">TOTAL COM BDI (R$) </t>
  </si>
  <si>
    <t>BDI DE 25,00%</t>
  </si>
  <si>
    <t xml:space="preserve">TOTAL SEM BDI (R$) </t>
  </si>
  <si>
    <t>FORNECIMENTO DE EQUIPAMENTOS FÓRUM DA COMARCA DE CORURIPE</t>
  </si>
  <si>
    <t>CÂMERAS</t>
  </si>
  <si>
    <t>CÂMERA IP DOME 4020. FABRICANTE INTELBRAS OU SIMILAR</t>
  </si>
  <si>
    <t>APARELHOS DE AR CONDICIONADO</t>
  </si>
  <si>
    <t>I-42424</t>
  </si>
  <si>
    <t>AR CONDICIONADO SPLIT INVERTER, HI-WALL (PAREDE), 9000 BTU/H, CICLO FRIO, 60HZ, CLASSIFICACAO A (SELO PROCEL), GAS HFC, CONTROLE S/FIO</t>
  </si>
  <si>
    <t>I-42425</t>
  </si>
  <si>
    <t>AR CONDICIONADO SPLIT INVERTER, HI-WALL (PAREDE), 12000 BTU/H, CICLO FRIO, 60HZ, CLASSIFICACAO A (SELO PROCEL), GAS HFC, CONTROLE S/FIO</t>
  </si>
  <si>
    <t>I-42422</t>
  </si>
  <si>
    <t>AR CONDICIONADO SPLIT INVERTER, HI-WALL (PAREDE), 18000 BTU/H, CICLO FRIO, 60HZ, CLASSIFICACAO A (SELO PROCEL), GAS HFC, CONTROLE S/FIO</t>
  </si>
  <si>
    <t>I-43184</t>
  </si>
  <si>
    <t>2.05</t>
  </si>
  <si>
    <t>AR CONDICIONADO SPLIT INVERTER, HI-WALL (PAREDE), 24000 BTU/H, CICLO FRIO, 60HZ, CLASSIFICACAO A (SELO PROCEL), GAS HFC, CONTROLE S/FIO</t>
  </si>
  <si>
    <t>I-43187</t>
  </si>
  <si>
    <t>2.06</t>
  </si>
  <si>
    <t>AR CONDICIONADO SPLIT ON/OFF, PISO TETO, 36.000 BTU/H, CICLO FRIO, 60HZ, CLASSIFICACAO ENERGETICA C - SELO PROCEL, GAS HFC, CONTROLE S/FIO</t>
  </si>
  <si>
    <t>APARELHOS HIDRÁULICOS</t>
  </si>
  <si>
    <t>MOTOBOMBA CENTRÍFUGA SUBMERSÍVEL, MARCA SCHNEIDER OU SIMILAR, MODELO BCS-C5, MOTOR 1/2 CV, TRIFÁSICO 220V, RECALQUE 2", HM = 2 A 8 M, Q = 10,3 A 18,5M3/H</t>
  </si>
  <si>
    <t>APARELHOS ELETRÔNICOS</t>
  </si>
  <si>
    <t>SISTEMA DE DADOS E VOZ</t>
  </si>
  <si>
    <t>CENTRAL PABX, CAPACIDADE 8 LINHAS E 24 RAMAIS, MOD. CORP 8000, INTELBRÁS OU SIMILAR - FORNECIMENTO</t>
  </si>
  <si>
    <t>4.01.02</t>
  </si>
  <si>
    <t>SWITCH DE CAMADA 2, 48 PORTAS 1GB (48 DELAS ENERGIZADAS) + 4 INTERFACES SFP+ 10GBE. REDE CAT.6A. FABRICANTES: DELL, TPLINK, CISCO, HP OU SIMILAR DE QUALIDADE</t>
  </si>
  <si>
    <t>4.01.03</t>
  </si>
  <si>
    <t>RÉGUA (FILTRO DE LINHA) COM 8 TOMADAS</t>
  </si>
  <si>
    <t>4.01.04</t>
  </si>
  <si>
    <t>FORNECIMENTO E MONTAGEM DE RACK FECHADO TIPO ARMÁRIO 19" X 36U X 670MM</t>
  </si>
  <si>
    <t>4.01.05</t>
  </si>
  <si>
    <t>PATCH PANEL 48 PORTAS, CATEGORIA 6 - FORNECIMENTO E INSTALAÇÃO. AF_03/2018</t>
  </si>
  <si>
    <t>4.01.06</t>
  </si>
  <si>
    <t>FORNECIMENTO E INSTALAÇÃO DE VOICE PANEL 24 PORTAS CAT 6</t>
  </si>
  <si>
    <t>4.01.07</t>
  </si>
  <si>
    <t>DISTRIBUIDOR INTERNO ÓPTICO - D.I.O</t>
  </si>
  <si>
    <t>MERC04/01</t>
  </si>
  <si>
    <t>4.01.08</t>
  </si>
  <si>
    <t>HD 4 TB</t>
  </si>
  <si>
    <t>I-09218</t>
  </si>
  <si>
    <t>4.01.09</t>
  </si>
  <si>
    <t>MONITOR 42" - REF. 42LD460 LG OU SIMILAR</t>
  </si>
  <si>
    <t>4.01.10</t>
  </si>
  <si>
    <t>DVDR CFTV STAND ALONE MULTI HD 32 CANAIS</t>
  </si>
  <si>
    <t>I-08016</t>
  </si>
  <si>
    <t>4.01.11</t>
  </si>
  <si>
    <t>CENTRAL DE ALARME DIGITAL COM 2 BATERIAS ADEMCO VISTA 50 OU SIMILAR (ATÉ 40 PONTOS)</t>
  </si>
  <si>
    <t>4.01.12</t>
  </si>
  <si>
    <t>SUBWOOFER 8' EMBUTIR</t>
  </si>
  <si>
    <t>4.01.13</t>
  </si>
  <si>
    <t>SENSOR INFRA-VERMELHO DE PRESENÇA PERIMETRAL</t>
  </si>
  <si>
    <t>4.01.14</t>
  </si>
  <si>
    <t>NOBREAK TRIFASICO, DE 20 KVA FATOR DE POTENCIA DE 0,8, AUTONOMIA MINIMA DE 30 MINUTOS A PLENA CARGA</t>
  </si>
  <si>
    <t>4.01.15</t>
  </si>
  <si>
    <t>AMPLIFICADOR DE POTÊNCIA 1300W 4 OHMS - OP 7600 ONEAL OU SIMILAR</t>
  </si>
  <si>
    <t>4.01.16</t>
  </si>
  <si>
    <t>MESA DE SOM / MIXER 5 CANAIS C/ USB OMX 52 - ONEAL OU SIMILAR</t>
  </si>
  <si>
    <t>4.01.17</t>
  </si>
  <si>
    <t>MICROFONE S/FIO DUPLO PRO BASS UHF</t>
  </si>
  <si>
    <t>4.01.18</t>
  </si>
  <si>
    <t>ATENUADOR DE VOLUME ROTATIVO COM 12 POSIÇÕES, POTÊNCIA MÁXIMA 80W, REF. VCS 80, DA LOUD OU SIMILAR</t>
  </si>
  <si>
    <t>4.01.19</t>
  </si>
  <si>
    <t>MICROFONE C/ FIO PRO BASS</t>
  </si>
  <si>
    <t>4.01.20</t>
  </si>
  <si>
    <t>CABO 2P10 X 2P10 MONO GOD 1.8M MXT</t>
  </si>
  <si>
    <t>SISTEMAS DE SEGURANÇA E INCÊNDIO</t>
  </si>
  <si>
    <t>BOMBA DE INCÊNDIO 3CV</t>
  </si>
  <si>
    <t>SUBESTAÇÃO</t>
  </si>
  <si>
    <t>I10823</t>
  </si>
  <si>
    <t>TRANSFORMADOR TRIFÁSICO C/ DERIV 112,5 KVA, AT 13800V, BT 380/220V PADRÃO ENERGISA</t>
  </si>
  <si>
    <t>BDI DE 16,80%</t>
  </si>
  <si>
    <t>MEMÓRIA DE CÁLCULO</t>
  </si>
  <si>
    <t>ÁREA CONSTRUÍDA: 972,76 M²</t>
  </si>
  <si>
    <t>PLANILHA ORÇAMENTARIA</t>
  </si>
  <si>
    <t>DISCRIMINAÇÃO</t>
  </si>
  <si>
    <t>QUANT.</t>
  </si>
  <si>
    <t>LARGURA</t>
  </si>
  <si>
    <t>COMP.</t>
  </si>
  <si>
    <t>ALTURA</t>
  </si>
  <si>
    <t>PERÍMETRO</t>
  </si>
  <si>
    <t>DENSIDADE /TAXAS</t>
  </si>
  <si>
    <t>ÁREA(m²)</t>
  </si>
  <si>
    <t>VOLUME</t>
  </si>
  <si>
    <t>Percentual de Administração (Máx. 8,87%)</t>
  </si>
  <si>
    <t>Georeferenciamento - Percentual de Administração (Máx. 8,87%)</t>
  </si>
  <si>
    <t>Procedimento Eletrobrás - Percentual de Administração (Máx. 8,87%)</t>
  </si>
  <si>
    <t>Montagem da subestação - Percentual de Administração (Máx. 8,87%)</t>
  </si>
  <si>
    <t>Vistoria das  instalações - Percentual de Administração (Máx. 8,87%)</t>
  </si>
  <si>
    <t>DESCONTOS</t>
  </si>
  <si>
    <t>Percentual de Administração (Máx. 2,00%)</t>
  </si>
  <si>
    <t xml:space="preserve">Valor taxa da ART, anexo da decisão PL-CONFEA </t>
  </si>
  <si>
    <t>Área construída</t>
  </si>
  <si>
    <t>INSTALAÇÃO PROVISÓRIA DE ENERGIA</t>
  </si>
  <si>
    <t>INSTALAÇÃO PROVISÓRIA DE ÁGUA</t>
  </si>
  <si>
    <t>Área da placa da obra</t>
  </si>
  <si>
    <t>LIMPEZA TERRENO - 1ª ETAPA</t>
  </si>
  <si>
    <t>LIMPEZA TERRENO - 2ª ETAPA</t>
  </si>
  <si>
    <t>TAPUME DIVISÓRIA ÁREA DA OBRA/FÓRUM ANTIGO - 1ª ETAPA</t>
  </si>
  <si>
    <t>TAPUME FRENTE FÓRUM ANTIGO - 2ª ETAPA</t>
  </si>
  <si>
    <t>BARRACÃO DE OBRA PARA ESCRITÓRIOS</t>
  </si>
  <si>
    <t xml:space="preserve">BARRACÃO DE OBRA PARA REFEITÓRIO </t>
  </si>
  <si>
    <t xml:space="preserve">BARRACÃO DE OBRA PARA DEPOSITO </t>
  </si>
  <si>
    <t>BARRACÃO DE OBRA PARA BANHEIRO E VESTIÁRIO</t>
  </si>
  <si>
    <t>MOBILIZAÇÃO E DESMOBILIZAÇÃO DE CONTAINERS - MACEIÓ/CORURIPE - 100KM IDA E VOLTA PARA 3 CONTAINERS</t>
  </si>
  <si>
    <t>MOBILIZAÇÃO E DESMOBILIZAÇÃO DE CONTAINERS - MACEIÓ/CORURIPE</t>
  </si>
  <si>
    <t>CORTE DE ÁRVORES - 1ª ETAPA</t>
  </si>
  <si>
    <t>CORTE DE ÁRVORES - 2ª ETAPA</t>
  </si>
  <si>
    <t>DEMOLIÇÃO DE CALÇADAS INTERNAS</t>
  </si>
  <si>
    <t>DEMOLIÇÃO DE CALÇADAS EXTERNAS</t>
  </si>
  <si>
    <t>PAVIMENTAÇÃO INTERNA</t>
  </si>
  <si>
    <t>1ª ETAPA</t>
  </si>
  <si>
    <t>COBERTA - 2ª VARA</t>
  </si>
  <si>
    <t>COBERTA DO JUIZ</t>
  </si>
  <si>
    <t>COBERTA - ANEXO 2ª VARA</t>
  </si>
  <si>
    <t>COBERTA - WC PÚBLICO E DEPÓSITO</t>
  </si>
  <si>
    <t>COBERTA - ESPERA</t>
  </si>
  <si>
    <t>COBERTA - MP</t>
  </si>
  <si>
    <t>2ª ETAPA</t>
  </si>
  <si>
    <t>COBERTA - 1ª VARA</t>
  </si>
  <si>
    <t>DEFENSORIA</t>
  </si>
  <si>
    <t>2ª VARA</t>
  </si>
  <si>
    <t>WC PÚBLICO E DEPÓSITO</t>
  </si>
  <si>
    <t>ESPERA</t>
  </si>
  <si>
    <t>ANEXO 2ª VARA</t>
  </si>
  <si>
    <t>MP</t>
  </si>
  <si>
    <t>1ª VARA</t>
  </si>
  <si>
    <t>2ª VARA - PILAR</t>
  </si>
  <si>
    <t>2ª VARA - VIGA</t>
  </si>
  <si>
    <t>COBERTA DO JUIZ - PILAR</t>
  </si>
  <si>
    <t>ANEXO 2ª VARA - PILAR</t>
  </si>
  <si>
    <t>ANEXO 2ª VARA - VIGA</t>
  </si>
  <si>
    <t>WC PÚBLICO E DEPÓSITO - PILAR</t>
  </si>
  <si>
    <t>WC PÚBLICO E DEPÓSITO - VIGA</t>
  </si>
  <si>
    <t>ESPERA - PILAR</t>
  </si>
  <si>
    <t>ESPERA - VIGA</t>
  </si>
  <si>
    <t>MP - PILAR</t>
  </si>
  <si>
    <t>MP - VIGA</t>
  </si>
  <si>
    <t>1ª VARA - PILAR</t>
  </si>
  <si>
    <t>1ª VARA - VIGA</t>
  </si>
  <si>
    <t>DEFENSORIA - PILAR</t>
  </si>
  <si>
    <t>DEFENSORIA - VIGA</t>
  </si>
  <si>
    <t>MURO</t>
  </si>
  <si>
    <t>TELHAS</t>
  </si>
  <si>
    <t>LAJES</t>
  </si>
  <si>
    <t>PILAR E VIGA</t>
  </si>
  <si>
    <t>ALVENARIA</t>
  </si>
  <si>
    <t>ESTRUTURA METÁLICA</t>
  </si>
  <si>
    <t>PORTAS</t>
  </si>
  <si>
    <t>JANELAS</t>
  </si>
  <si>
    <t>GRADIL</t>
  </si>
  <si>
    <t>EMPOLAMENTO DO RESÍDUO DE CONSTRUÇÃO CIVIL 100%</t>
  </si>
  <si>
    <t>TRANSPORTE DE ENTULHO</t>
  </si>
  <si>
    <t>ESTRUTURA METÁLICA DA COBERTA DO JUIZ</t>
  </si>
  <si>
    <t>ESTRUTURA METÁLICA DA GARAGEM DA 2ª VARA</t>
  </si>
  <si>
    <t>PORTAS - 1ª VARA</t>
  </si>
  <si>
    <t>PORTAS - 2ª VARA</t>
  </si>
  <si>
    <t>JANELAS - 1ª VARA</t>
  </si>
  <si>
    <t>JANELAS - 2ª VARA</t>
  </si>
  <si>
    <t>GRADIL DAS JANELAS - 1ª VARA</t>
  </si>
  <si>
    <t>GRADIL DAS JANELAS - 2ª VARA</t>
  </si>
  <si>
    <t>GRADIL DA FACHADA FRONTAL</t>
  </si>
  <si>
    <t>SAPATAS</t>
  </si>
  <si>
    <t>60 X 60</t>
  </si>
  <si>
    <t>S1, S4, S5, S6, S7, S8, S12, S13, S20, S21, S26, S27, S34, S36, S48, S53, S57, S58, S59, S63, S65, S66, S67, S69, S72, S73, S74</t>
  </si>
  <si>
    <t>70 X 70</t>
  </si>
  <si>
    <t>S2, S14, S15, S16, S17, S19, S23, S24, S31, S32, S33, S37, S38, S40, S47, S51, S60, S61, S62, S68</t>
  </si>
  <si>
    <t>80 X 80</t>
  </si>
  <si>
    <t>S3, S10, S11, S35, S49, S52, S54, S55, S56, S64</t>
  </si>
  <si>
    <t>90X90</t>
  </si>
  <si>
    <t>S18, S28, S29, S30, S39, S46</t>
  </si>
  <si>
    <t xml:space="preserve">110 X 110 </t>
  </si>
  <si>
    <t>S22, S44, S45, S50, S70, S71</t>
  </si>
  <si>
    <t>170 X 170</t>
  </si>
  <si>
    <t>S25</t>
  </si>
  <si>
    <t>185 X 185</t>
  </si>
  <si>
    <t>S41</t>
  </si>
  <si>
    <t>135 X 135</t>
  </si>
  <si>
    <t>S43</t>
  </si>
  <si>
    <t>BLOCOS</t>
  </si>
  <si>
    <t>B42</t>
  </si>
  <si>
    <t>100 x 140</t>
  </si>
  <si>
    <t>B1, B2, B3, B4, B5</t>
  </si>
  <si>
    <t>FUNDAÇÃO CORRIDA</t>
  </si>
  <si>
    <t>40 X 40</t>
  </si>
  <si>
    <t>CF</t>
  </si>
  <si>
    <t>FUNDAÇÃO DO MURO</t>
  </si>
  <si>
    <t>TUBULAÇÕES</t>
  </si>
  <si>
    <t>ESCAVAÇÃO PARA PASSAGEM DE TUBULAÇÕES</t>
  </si>
  <si>
    <t>CAIXAS</t>
  </si>
  <si>
    <t>RESERVATÓRIO INFERIOR</t>
  </si>
  <si>
    <t>RESERVATÓRIOS INFERIOR</t>
  </si>
  <si>
    <t>CAIXA DE FILTRO PLUVIAL</t>
  </si>
  <si>
    <t>FOSSA, FILTRO E SUMIDOURO</t>
  </si>
  <si>
    <t>SUMIDOURO</t>
  </si>
  <si>
    <t>FOSSA</t>
  </si>
  <si>
    <t>FILTRO</t>
  </si>
  <si>
    <t>CORTE DO TERRENO - CONFORME PROJETO</t>
  </si>
  <si>
    <t>EMPOLAMENTO</t>
  </si>
  <si>
    <t>CAIXÃO DO TERRENO - CONF. PROJETO</t>
  </si>
  <si>
    <t>FOSSA E CISTERNA ANTIGAS</t>
  </si>
  <si>
    <t>FOSSAS E CISTERNAS ANTIGAS</t>
  </si>
  <si>
    <t>RAMPA FRONTAL</t>
  </si>
  <si>
    <t>ESCADA FRONTAL</t>
  </si>
  <si>
    <t>RAMPA ACESSO AOS PRESOS</t>
  </si>
  <si>
    <t>RAMPA DEPÓSITO DE APREENSÕES</t>
  </si>
  <si>
    <t>ESCADA ÁREA DE SERVIÇO</t>
  </si>
  <si>
    <t>TRANSPORTE DE ATERRO (MATERIAL DE EMPRESTIMO)</t>
  </si>
  <si>
    <t>TRANSPORTE DE ATERRO RETIRADO - CORTE 2ª ETAPA DA OBRA</t>
  </si>
  <si>
    <t>Locação da obra</t>
  </si>
  <si>
    <t>Embasamento - em toda a fundação corrida</t>
  </si>
  <si>
    <t>CF - FUNDAÇÃO CORRIDA</t>
  </si>
  <si>
    <t>S1=S4=S5=S6=S7=S8=S9=S12=S20=S21=S26=S27=S34=S36=S48=S53=S57=S58=S59=S63=S65=S66=S67=S69=S72=S73=S74</t>
  </si>
  <si>
    <t>S2=S14=S15=S16=S17=S19=S23=S24=S31=S32=S33=S37=S38=SS40=S47=S51=S60=S61=S62=S68</t>
  </si>
  <si>
    <t>S3=S10=S11=S35=S49=S52=S54=S55=S56=S64</t>
  </si>
  <si>
    <t>S18=S28=S29=S30=S39=S46</t>
  </si>
  <si>
    <t>S22=S44=S45=S50=S70=S71</t>
  </si>
  <si>
    <t>BLOCOS - ESTRUTURA METÁLICA DO ESTACIONAMENTO</t>
  </si>
  <si>
    <t>B1=B2=B3=B4=B5</t>
  </si>
  <si>
    <t>FOSSA E FILTRO</t>
  </si>
  <si>
    <t>ARRANQUES</t>
  </si>
  <si>
    <t>ARRANQUE A</t>
  </si>
  <si>
    <t>ARRANQUE B</t>
  </si>
  <si>
    <t>ARRANQUE C</t>
  </si>
  <si>
    <t>ARRANQUE D</t>
  </si>
  <si>
    <t>ARRANQUE E</t>
  </si>
  <si>
    <t>ARRANQUE F</t>
  </si>
  <si>
    <t>ARRANQUE G</t>
  </si>
  <si>
    <t>ARRANQUE H</t>
  </si>
  <si>
    <t>ARRANQUE I</t>
  </si>
  <si>
    <t>ARRANQUE J</t>
  </si>
  <si>
    <t>ARRANQUE K</t>
  </si>
  <si>
    <t>SAPATAS, BLOCOS E ARRANQUES</t>
  </si>
  <si>
    <t>PILARES</t>
  </si>
  <si>
    <t>P1=P2=P3=P4=P5=P6=P7=P8=P9=P17=P18=P19=P20=P21=P23=P24=P31=P32=P33=P34=P35=P36=P37=P38=P39=P40=P48=P49=P50=P51=P52=P53=P54=P57=P58=P59=P60=P61=P62=P63=P64=P65=P66=P67=P68=P73=P74</t>
  </si>
  <si>
    <t>P10=P56</t>
  </si>
  <si>
    <t>P11=P55</t>
  </si>
  <si>
    <t>P12=P13=P14=P15=P16</t>
  </si>
  <si>
    <t>P22</t>
  </si>
  <si>
    <t>P25=P41</t>
  </si>
  <si>
    <t>P26=P47=P69=P70=P71=P72</t>
  </si>
  <si>
    <t>P27</t>
  </si>
  <si>
    <t>P28=P29=P30</t>
  </si>
  <si>
    <t>P42</t>
  </si>
  <si>
    <t>P43</t>
  </si>
  <si>
    <t>P44</t>
  </si>
  <si>
    <t>P45</t>
  </si>
  <si>
    <t>P75</t>
  </si>
  <si>
    <t>P76=P77=P78=P79=P80=P81=P82=P83=P84=P85=P86=P87=P88</t>
  </si>
  <si>
    <t>VIGAS - COBERTA NÍVEL 1</t>
  </si>
  <si>
    <t>V1</t>
  </si>
  <si>
    <t>V2</t>
  </si>
  <si>
    <t>V3</t>
  </si>
  <si>
    <t>V4</t>
  </si>
  <si>
    <t>V5</t>
  </si>
  <si>
    <t>V6</t>
  </si>
  <si>
    <t>V7</t>
  </si>
  <si>
    <t>V8</t>
  </si>
  <si>
    <t>V9</t>
  </si>
  <si>
    <t>V10</t>
  </si>
  <si>
    <t>V11</t>
  </si>
  <si>
    <t>V12</t>
  </si>
  <si>
    <t>V13</t>
  </si>
  <si>
    <t>V14</t>
  </si>
  <si>
    <t>V15</t>
  </si>
  <si>
    <t>V16</t>
  </si>
  <si>
    <t>V17</t>
  </si>
  <si>
    <t>V18</t>
  </si>
  <si>
    <t>V19</t>
  </si>
  <si>
    <t>V20</t>
  </si>
  <si>
    <t>V21</t>
  </si>
  <si>
    <t>V22</t>
  </si>
  <si>
    <t>V23</t>
  </si>
  <si>
    <t>V24</t>
  </si>
  <si>
    <t>V25</t>
  </si>
  <si>
    <t>V26</t>
  </si>
  <si>
    <t>V27</t>
  </si>
  <si>
    <t>V28</t>
  </si>
  <si>
    <t>V29</t>
  </si>
  <si>
    <t>V30</t>
  </si>
  <si>
    <t>V31</t>
  </si>
  <si>
    <t>V32</t>
  </si>
  <si>
    <t>V33</t>
  </si>
  <si>
    <t>V34</t>
  </si>
  <si>
    <t>V35</t>
  </si>
  <si>
    <t>V36</t>
  </si>
  <si>
    <t>V37</t>
  </si>
  <si>
    <t>V38</t>
  </si>
  <si>
    <t>V39</t>
  </si>
  <si>
    <t>V40</t>
  </si>
  <si>
    <t>V41</t>
  </si>
  <si>
    <t>V42</t>
  </si>
  <si>
    <t>V43</t>
  </si>
  <si>
    <t>V44</t>
  </si>
  <si>
    <t>V45</t>
  </si>
  <si>
    <t>V46</t>
  </si>
  <si>
    <t>V47</t>
  </si>
  <si>
    <t>V48</t>
  </si>
  <si>
    <t>V49</t>
  </si>
  <si>
    <t>V50</t>
  </si>
  <si>
    <t>V51</t>
  </si>
  <si>
    <t>V52</t>
  </si>
  <si>
    <t>V53</t>
  </si>
  <si>
    <t>V54</t>
  </si>
  <si>
    <t>V55</t>
  </si>
  <si>
    <t>V56</t>
  </si>
  <si>
    <t>V57</t>
  </si>
  <si>
    <t>V58</t>
  </si>
  <si>
    <t>V59</t>
  </si>
  <si>
    <t>V60</t>
  </si>
  <si>
    <t>VIGAS - COBERTA NÍVEL 2</t>
  </si>
  <si>
    <t>V101</t>
  </si>
  <si>
    <t>V102</t>
  </si>
  <si>
    <t>V103 - RESERVATÓRIO</t>
  </si>
  <si>
    <t>V104</t>
  </si>
  <si>
    <t>V105 - RESERVATÓRIO</t>
  </si>
  <si>
    <t>V106</t>
  </si>
  <si>
    <t>V107 - RESERVATÓRIO</t>
  </si>
  <si>
    <t>V108 - RESERVATÓRIO</t>
  </si>
  <si>
    <t>V109</t>
  </si>
  <si>
    <t>V110</t>
  </si>
  <si>
    <t>V111</t>
  </si>
  <si>
    <t>V112 - RESERVATÓRIO</t>
  </si>
  <si>
    <t>V113</t>
  </si>
  <si>
    <t>V114</t>
  </si>
  <si>
    <t>V115</t>
  </si>
  <si>
    <t>V116</t>
  </si>
  <si>
    <t>V117</t>
  </si>
  <si>
    <t>V118</t>
  </si>
  <si>
    <t>V119 - RESERVATÓRIO</t>
  </si>
  <si>
    <t>V120</t>
  </si>
  <si>
    <t>V121</t>
  </si>
  <si>
    <t>V122 - RESERVATÓRIO</t>
  </si>
  <si>
    <t>V123 - RESERVATÓRIO</t>
  </si>
  <si>
    <t>V124</t>
  </si>
  <si>
    <t>V125</t>
  </si>
  <si>
    <t>V126 - RESERVATÓRIO</t>
  </si>
  <si>
    <t>V127</t>
  </si>
  <si>
    <t>V128</t>
  </si>
  <si>
    <t>V129</t>
  </si>
  <si>
    <t>V130</t>
  </si>
  <si>
    <t>V131</t>
  </si>
  <si>
    <t>V132</t>
  </si>
  <si>
    <t>V133</t>
  </si>
  <si>
    <t>V134</t>
  </si>
  <si>
    <t>LAJE RESERVATÓRIOS</t>
  </si>
  <si>
    <t>L109 - FORMA FUNDO RESERVATÓRIO</t>
  </si>
  <si>
    <t>L109 - FORMA COBERTA RESERVATÓRIO</t>
  </si>
  <si>
    <t>L119 - FORMA FUNDO RESERVATÓRIO</t>
  </si>
  <si>
    <t>L119 - FORMA COBERTA RESERVATÓRIO</t>
  </si>
  <si>
    <t>L121 - FORMA FUNDO RESERVATÓRIO</t>
  </si>
  <si>
    <t>L121 - FORMA COBERTA RESERVATÓRIO</t>
  </si>
  <si>
    <t>L123 - FORMA FUNDO RESERVATÓRIO</t>
  </si>
  <si>
    <t>L123 - FORMA COBERTA RESERVATÓRIO</t>
  </si>
  <si>
    <t>RESERVATÓRIOS INFERIOR - PAREDES</t>
  </si>
  <si>
    <t>RESERVATÓRIOS INFERIOR - TAMPA E FUNDO</t>
  </si>
  <si>
    <t>CAIXA DE FILTRO PLUVIAL - PAREDES</t>
  </si>
  <si>
    <t>CAIXA DE FILTRO PLUVIAL - TAMPA E FUNDO</t>
  </si>
  <si>
    <t>SUMIDOURO - TAMPA</t>
  </si>
  <si>
    <t>FOSSA - PAREDES</t>
  </si>
  <si>
    <t>FOSSA - TAMPA E FUNDO</t>
  </si>
  <si>
    <t>FILTRO - PAREDES</t>
  </si>
  <si>
    <t>FILTRO - TAMPA E FUNDO</t>
  </si>
  <si>
    <t>LAJE - COBERTA NÍVEL 1</t>
  </si>
  <si>
    <t>L1</t>
  </si>
  <si>
    <t>L2</t>
  </si>
  <si>
    <t>L3</t>
  </si>
  <si>
    <t>L4</t>
  </si>
  <si>
    <t>L5</t>
  </si>
  <si>
    <t>L6</t>
  </si>
  <si>
    <t>L7</t>
  </si>
  <si>
    <t>L8</t>
  </si>
  <si>
    <t>L9</t>
  </si>
  <si>
    <t>L10</t>
  </si>
  <si>
    <t>L11</t>
  </si>
  <si>
    <t>L12</t>
  </si>
  <si>
    <t>L13</t>
  </si>
  <si>
    <t>L14</t>
  </si>
  <si>
    <t>L15</t>
  </si>
  <si>
    <t>L16</t>
  </si>
  <si>
    <t>L17</t>
  </si>
  <si>
    <t>L18</t>
  </si>
  <si>
    <t>L19</t>
  </si>
  <si>
    <t>L20</t>
  </si>
  <si>
    <t>L21</t>
  </si>
  <si>
    <t>L22</t>
  </si>
  <si>
    <t>L23</t>
  </si>
  <si>
    <t>L24</t>
  </si>
  <si>
    <t>L25</t>
  </si>
  <si>
    <t>L26</t>
  </si>
  <si>
    <t>L27</t>
  </si>
  <si>
    <t>L28</t>
  </si>
  <si>
    <t>L29</t>
  </si>
  <si>
    <t>L30</t>
  </si>
  <si>
    <t>L31</t>
  </si>
  <si>
    <t>L32</t>
  </si>
  <si>
    <t>L33</t>
  </si>
  <si>
    <t>L34</t>
  </si>
  <si>
    <t>L35</t>
  </si>
  <si>
    <t>L36</t>
  </si>
  <si>
    <t>L37</t>
  </si>
  <si>
    <t>L38</t>
  </si>
  <si>
    <t>L39</t>
  </si>
  <si>
    <t>L40</t>
  </si>
  <si>
    <t>L41</t>
  </si>
  <si>
    <t>L42</t>
  </si>
  <si>
    <t>L43</t>
  </si>
  <si>
    <t>L44</t>
  </si>
  <si>
    <t>L45</t>
  </si>
  <si>
    <t>L46</t>
  </si>
  <si>
    <t>L47</t>
  </si>
  <si>
    <t>LAJE - COBERTA NÍVEL 2</t>
  </si>
  <si>
    <t>L101</t>
  </si>
  <si>
    <t>L102</t>
  </si>
  <si>
    <t>L103</t>
  </si>
  <si>
    <t>L104</t>
  </si>
  <si>
    <t>L105</t>
  </si>
  <si>
    <t>L106</t>
  </si>
  <si>
    <t>L107</t>
  </si>
  <si>
    <t>L108</t>
  </si>
  <si>
    <t>L110</t>
  </si>
  <si>
    <t>L111</t>
  </si>
  <si>
    <t>L112</t>
  </si>
  <si>
    <t>L113</t>
  </si>
  <si>
    <t>L114</t>
  </si>
  <si>
    <t>L115</t>
  </si>
  <si>
    <t>L116</t>
  </si>
  <si>
    <t>L122</t>
  </si>
  <si>
    <t>L123</t>
  </si>
  <si>
    <t>RESERVATÓRIOS INFERIOR - TAMPA</t>
  </si>
  <si>
    <t>CAIXA DE FILTRO PLUVIAL - TAMPA</t>
  </si>
  <si>
    <t>FOSSA - TAMPA</t>
  </si>
  <si>
    <t>FILTRO - TAMPA</t>
  </si>
  <si>
    <t>SUMIDOURO - TAMPA E FUNDO</t>
  </si>
  <si>
    <t>VIGAS DE COBERTA NÍVEL 1</t>
  </si>
  <si>
    <t>VIGAS DE COBERTA NÍVEL 2</t>
  </si>
  <si>
    <t>RESERVATÓRIOS SUPERIORES (CONSUMO, REUSO + RESERVA INCENDIO)</t>
  </si>
  <si>
    <t>ARMADURA RESERVATÓRIO</t>
  </si>
  <si>
    <t>ARMADURA COMPLEMENTAR LAJE DE COBERTA NÍVEL 1</t>
  </si>
  <si>
    <t>ARMADURA COMPLEMENTAR LAJE DE COBERTA NÍVEL 2</t>
  </si>
  <si>
    <t>PROTENSÃO</t>
  </si>
  <si>
    <t>CONTROLE TECNOLÓGICO DE CONCRETO</t>
  </si>
  <si>
    <t xml:space="preserve">RESERVATÓRIO SUPERIOR (CONSUMO, REUSO)		</t>
  </si>
  <si>
    <t xml:space="preserve">RESERVATÓRIO SUPERIOR (RESERVA INCENDIO)		</t>
  </si>
  <si>
    <t>TÉRREO</t>
  </si>
  <si>
    <t>PERÍMETRO EXTERNO</t>
  </si>
  <si>
    <t>ÁREA DE SERVIÇO</t>
  </si>
  <si>
    <t>COPA</t>
  </si>
  <si>
    <t>WC FUNC. FEM</t>
  </si>
  <si>
    <t>WC FUNC. MASC</t>
  </si>
  <si>
    <t>VESTIÁRIO</t>
  </si>
  <si>
    <t>WCB FUNC.</t>
  </si>
  <si>
    <t>DEPÓSITO DE APREENSÕES</t>
  </si>
  <si>
    <t>CENTRAL TÉCNICA</t>
  </si>
  <si>
    <t>GABINETE DO JUIZ</t>
  </si>
  <si>
    <t>WC JUIZ</t>
  </si>
  <si>
    <t>ASSESSORIA</t>
  </si>
  <si>
    <t>AUDIÊNCIA</t>
  </si>
  <si>
    <t>CELA</t>
  </si>
  <si>
    <t>RECONHECIMENTO (SUSPEITO)</t>
  </si>
  <si>
    <t>RECONHECIMENTO (TESTEMUNHA)</t>
  </si>
  <si>
    <t>CIRC.</t>
  </si>
  <si>
    <t>CIRCULAÇÃO</t>
  </si>
  <si>
    <t>TRIBUNAL DO JÚRI</t>
  </si>
  <si>
    <t>WC MASC</t>
  </si>
  <si>
    <t>WC FEM</t>
  </si>
  <si>
    <t>WC PCD FEM</t>
  </si>
  <si>
    <t>WC PCD MASC</t>
  </si>
  <si>
    <t>CADASTRO/DISTRIBUIÇÃO</t>
  </si>
  <si>
    <t>OAB</t>
  </si>
  <si>
    <t xml:space="preserve">WC DEFENSORIA  </t>
  </si>
  <si>
    <t>MINISTÉRIO PÚBLICO</t>
  </si>
  <si>
    <t>WC MP</t>
  </si>
  <si>
    <t>HALL CENTRAL</t>
  </si>
  <si>
    <t>SECRETARIA</t>
  </si>
  <si>
    <t>RECEPÇÃO</t>
  </si>
  <si>
    <t>CIRCULAÇÃO PRIVATIVA</t>
  </si>
  <si>
    <t>JARDIM DE INVERNO</t>
  </si>
  <si>
    <t>PLATIBANDA</t>
  </si>
  <si>
    <t>FACHADA LATERAL ESQUERDA</t>
  </si>
  <si>
    <t xml:space="preserve">MURO EM ALVENARIA BLOCO CERÂMICO, ALTURA DE 60CM, COLUNAS CONCRETO ARMADO FCK = 15,0 MPA CADA 3,00M, CINTAMENTO SUPERIOR E INFERIOR, CHAPISCO, REBOCO E PINTURA </t>
  </si>
  <si>
    <t>MURETA GRADIL FRONTAL - NYLOFOR</t>
  </si>
  <si>
    <t>MURETA GRADIL LATERAL ESQUERDO - NYLOFOR</t>
  </si>
  <si>
    <t>MURETA GRADIL LATERAL DIREITO - NYLOFOR</t>
  </si>
  <si>
    <t>MURO LATERAL ESQUERDO</t>
  </si>
  <si>
    <t>MURO LATERAL DIREITO</t>
  </si>
  <si>
    <t>MURO POSTERIOR</t>
  </si>
  <si>
    <t>SALA DE AUDIÊNCIA</t>
  </si>
  <si>
    <t>VERGAS DAS PORTAS</t>
  </si>
  <si>
    <t>P1</t>
  </si>
  <si>
    <t>P2</t>
  </si>
  <si>
    <t>P3</t>
  </si>
  <si>
    <t>P5</t>
  </si>
  <si>
    <t>P6</t>
  </si>
  <si>
    <t>P7</t>
  </si>
  <si>
    <t>VERGAS DAS JANELAS</t>
  </si>
  <si>
    <t>J8</t>
  </si>
  <si>
    <t>J12</t>
  </si>
  <si>
    <t>J13</t>
  </si>
  <si>
    <t>P4</t>
  </si>
  <si>
    <t xml:space="preserve">P8  </t>
  </si>
  <si>
    <t>P10</t>
  </si>
  <si>
    <t>P11</t>
  </si>
  <si>
    <t>J1</t>
  </si>
  <si>
    <t>J2</t>
  </si>
  <si>
    <t>J3</t>
  </si>
  <si>
    <t>J4</t>
  </si>
  <si>
    <t>J5</t>
  </si>
  <si>
    <t>J6</t>
  </si>
  <si>
    <t>J7</t>
  </si>
  <si>
    <t>J9</t>
  </si>
  <si>
    <t>J10</t>
  </si>
  <si>
    <t>J11</t>
  </si>
  <si>
    <t>COBERTA ESTACIONAMENTO JUIZ</t>
  </si>
  <si>
    <t>COBERTA DO FÓRUM</t>
  </si>
  <si>
    <t>FUROS EM LAJE PARA RALOS PLUVIAL</t>
  </si>
  <si>
    <t>PERGOLADOS</t>
  </si>
  <si>
    <t>COBERTA PERGOLADOS</t>
  </si>
  <si>
    <t>A1</t>
  </si>
  <si>
    <t>A2</t>
  </si>
  <si>
    <t>A3</t>
  </si>
  <si>
    <t>A4</t>
  </si>
  <si>
    <t>RESERVATÓRIO SUPERIOR</t>
  </si>
  <si>
    <t>CAIXA D´ÁGUA 01</t>
  </si>
  <si>
    <t>CAIXA D´ÁGUA REUSO 01</t>
  </si>
  <si>
    <t>CAIXA D´ÁGUA 02</t>
  </si>
  <si>
    <t>CAIXA D´ÁGUA REUSO 02</t>
  </si>
  <si>
    <t>RES. ÁGUA CONSUMO</t>
  </si>
  <si>
    <t>RES. ÁGUA REUSO</t>
  </si>
  <si>
    <t xml:space="preserve">Laje do fórum </t>
  </si>
  <si>
    <t>VIRADA PERÍMETRO</t>
  </si>
  <si>
    <t>P01 - CADASTRO/DISTRIBUIÇÃO</t>
  </si>
  <si>
    <t>P01 - DEFENSORIA PÚBLICA</t>
  </si>
  <si>
    <t>P01 - MINISTÉRIO PÚBLICO</t>
  </si>
  <si>
    <t>P01 - SALA DE AUDIÊNCIA 01</t>
  </si>
  <si>
    <t>P01 - ASSESSORIA 01</t>
  </si>
  <si>
    <t>P01 - CIRCULAÇÃO</t>
  </si>
  <si>
    <t>P01 - GABINETE DO JUIZ 01</t>
  </si>
  <si>
    <t>P01 - SECRETARIA 01</t>
  </si>
  <si>
    <t xml:space="preserve">P01 - RECEPÇÃO </t>
  </si>
  <si>
    <t>P01 - ÁREA DE SERVIÇO</t>
  </si>
  <si>
    <t>P01 - COPA</t>
  </si>
  <si>
    <t>P01 - WC FUNC FEM</t>
  </si>
  <si>
    <t>P01 - WC FUNC MASC</t>
  </si>
  <si>
    <t>P01 - DEPÓSITO DE APREENSÕES</t>
  </si>
  <si>
    <t>P01 - CENTRAL TÉCNICA</t>
  </si>
  <si>
    <t>P01 - GABINETE DO JUIZ 02</t>
  </si>
  <si>
    <t>P01 - ASSESSORIA 02</t>
  </si>
  <si>
    <t>P01 - SALA DE AUDIÊNCIA 02</t>
  </si>
  <si>
    <t>P01 - SECRETARIA 02</t>
  </si>
  <si>
    <t xml:space="preserve">P01 - RECONHECIMENTO (SUSPEITO) </t>
  </si>
  <si>
    <t xml:space="preserve">P01 - RECONHECIMENTO (TESTEMUNHA) </t>
  </si>
  <si>
    <t>P01 - TRIBUNAL DO JÚRI</t>
  </si>
  <si>
    <t>P02 - WC DEFENSORIA</t>
  </si>
  <si>
    <t>P02 - WC MP</t>
  </si>
  <si>
    <t>P02 - WC DO JUIZ 01</t>
  </si>
  <si>
    <t>P02 - VESTIÁRIO</t>
  </si>
  <si>
    <t>P02 - WCB FUNCIONÁRIO</t>
  </si>
  <si>
    <t>P02 - WC DO JUIZ 02</t>
  </si>
  <si>
    <t>P02 - WC FEM</t>
  </si>
  <si>
    <t>P02 - WC MASC</t>
  </si>
  <si>
    <t>P03 - WC PCD FEM</t>
  </si>
  <si>
    <t>P03 - WC PCD MASC</t>
  </si>
  <si>
    <t>P04 - SALÃO DO JÚRI</t>
  </si>
  <si>
    <t>WC FUNC FEM</t>
  </si>
  <si>
    <t>WC FUNC MASC</t>
  </si>
  <si>
    <t xml:space="preserve">P09 - ESQUADRIA EM ALUMÍNIO ANODIZADO NA COR BRONZE COM VIDRO 4MM TRANSPARENTE INCOLOR. DUAS FOLHAS DE CORRER, JANELAS TIPO "MAXIM-AR", FOLHAS FIXAS E BANDEIRAS FIXAS. </t>
  </si>
  <si>
    <t>P10 - PORTA EM ALUMÍNIO ANODIZADO NA COR BRONZE COM VIDRO 4MM TRANSPARENTE INCOLOR. DUAS FOLHAS DE CORRER, DUAS FOLHAS FIXAS E BANDEIRAS FIXAS.</t>
  </si>
  <si>
    <t>P11 - PORTA EM ALUMÍNIO ANODIZADO NA COR BRONZE COM VIDRO 4MM TRANSPARENTE INCOLOR. DUAS FOLHAS DE CORRER, DUAS FOLHAS FIXAS E BANDEIRAS FIXAS.</t>
  </si>
  <si>
    <t>P14 - PORTÃO AUTOMÁTICO EM ALUMÍNIO TIPO BÚZIOS NA COR BRONZE.</t>
  </si>
  <si>
    <t>J1 - JANELA EM ALUMÍNIO ANODIZADO NA COR BRONZE COM VIDRO 4MM TRANSPARENTE INCOLOR. DUAS FOLHAS DE CORRER E DUAS BANDEIRAS FIXAS.</t>
  </si>
  <si>
    <t>J2 - JANELA EM ALUMÍNIO ANODIZADO NA COR BRONZE COM VIDRO 4MM TRANSPARENTE INCOLOR. QUATRO FOLHAS DE CORRER E QUATRO BANDEIRAS FIXAS.</t>
  </si>
  <si>
    <t>J3 - JANELA EM ALUMÍNIO ANODIZADO NA COR BRONZE COM VIDRO 4MM TRANSPARENTE INCOLOR. PEITORIL EM VIDRO FIXO, TRÊS FOLHAS TIPO "MAXIM-AR" E BANDEIRA EM VIDRO FIXO.</t>
  </si>
  <si>
    <t>J4 - JANELA EM ALUMÍNIO ANODIZADO NA COR BRONZE COM VIDRO 4MM TRANSPARENTE INCOLOR. PEITORIL EM VIDRO FIXO, QUATRO FOLHAS TIPO "MAXIM-AR" E BANDEIRA EM VIDRO FIXO.</t>
  </si>
  <si>
    <t>J5 - JANELA EM ALUMÍNIO ANODIZADO NA COR BRONZE COM VIDRO 4MM TRANSPARENTE INCOLOR. PEITORIL EM VIDRO FIXO, FOLHAS FIXAS E BANDEIRAS EM VIDRO FIXO.</t>
  </si>
  <si>
    <t>J6 - JANELA EM ALUMÍNIO ANODIZADO NA COR BRONZE COM VIDRO 4MM TRANSPARENTE INCOLOR. PEITORIL EM VIDRO FIXO, QUATRO FOLHAS TIPO "MAXIM-AR" E BANDEIRA EM VIDRO FIXO.</t>
  </si>
  <si>
    <t>J7 - JANELA EM ALUMÍNIO ANODIZADO NA COR BRONZE COM VIDRO 4MM TRANSPARENTE INCOLOR. PEITORIL EM VIDRO FIXO, TRÊS FOLHAS TIPO "MAXIM-AR" E BANDEIRA EM VIDRO FIXO.</t>
  </si>
  <si>
    <t>J8 - JANELA EM ALUMÍNIO ANODIZADO NA COR BRONZE COM VIDRO 4MM TRANSPARENTE INCOLOR. DUAS FOLHAS DE CORRER.</t>
  </si>
  <si>
    <t>J9 - JANELA EM ALUMÍNIO ANODIZADO NA COR BRONZE COM VIDRO 4MM TRANSPARENTE INCOLOR. QUATRO FOLHAS DE CORRER.</t>
  </si>
  <si>
    <t>Perfil em alumínio bronze com visor de vidro 6mm com película refletente espelhada.</t>
  </si>
  <si>
    <t>J10 - JANELA EM ALUMÍNIO ANODIZADO NA COR BRONZE COM VIDRO 4MM TRANSPARENTE INCOLOR. QUATRO FOLHAS DE CORRER.</t>
  </si>
  <si>
    <t>J11 - JANELA EM ALUMÍNIO ANODIZADO NA COR BRONZE COM VIDRO 4MM TRANSPARENTE INCOLOR. QUATRO FOLHAS DE CORRER.</t>
  </si>
  <si>
    <t>V1 - PERFIL EM ALUMÍNIO BRONZE COM VISOR DE VIDRO 6MM.</t>
  </si>
  <si>
    <t>V2 - PERFIL EM ALUMÍNIO BRONZE COM VISOR DE VIDRO 6MM.</t>
  </si>
  <si>
    <t>V3 - PERFIL EM ALUMÍNIO BRONZE COM VISOR DE VIDRO 6MM.</t>
  </si>
  <si>
    <t>V4 - PERFIL EM ALUMÍNIO BRONZE COM VISOR DE VIDRO 6MM.</t>
  </si>
  <si>
    <t>V5 - PERFIL EM ALUMÍNIO BRONZE COM VISOR DE VIDRO 6MM COM PELÍCULA REFLETENTE ESPELHADA.</t>
  </si>
  <si>
    <t>P05 - OAB</t>
  </si>
  <si>
    <t>GUARDA CORPO SALÃO DO JURI</t>
  </si>
  <si>
    <t>FACHADA LATERAL DIREITA</t>
  </si>
  <si>
    <t>P06 - PORTA CELA</t>
  </si>
  <si>
    <t>P8 - DEPÓSITO DE APREENSÕES</t>
  </si>
  <si>
    <t>P12 - ENTRADA PEDESTRE</t>
  </si>
  <si>
    <t>P13 - ENTRADA VEÍCULO</t>
  </si>
  <si>
    <t>J12 - CELA</t>
  </si>
  <si>
    <t>GRADIL FRONTAL - NYLOFOR</t>
  </si>
  <si>
    <t>GRADIL LATERAL ESQUERDO - NYLOFOR</t>
  </si>
  <si>
    <t>GRADIL LATERAL DIREITO - NYLOFOR</t>
  </si>
  <si>
    <t>P14 - Portão automatico em aluminio anodizado na cor bronze tipo buzios</t>
  </si>
  <si>
    <t>GRADIL - J3</t>
  </si>
  <si>
    <t>GRADIL - J4</t>
  </si>
  <si>
    <t>GRADIL - J5</t>
  </si>
  <si>
    <t>GRADIL - J6</t>
  </si>
  <si>
    <t>GRADIL - J7</t>
  </si>
  <si>
    <t>GRADIL - J8</t>
  </si>
  <si>
    <t>GRADIL - J9</t>
  </si>
  <si>
    <t>GRADIL - J10</t>
  </si>
  <si>
    <t>GRADIL - J11</t>
  </si>
  <si>
    <t>1º PAVIMENTO</t>
  </si>
  <si>
    <t>DEFENSORIA PÚBLICA</t>
  </si>
  <si>
    <t>WC DEFENSORIA</t>
  </si>
  <si>
    <t>WC DO JUIZ</t>
  </si>
  <si>
    <t>SALA DE RECONHECIMENTO (SUSPEITO)</t>
  </si>
  <si>
    <t>SALA DE RECONHECIMENTO (TESTEMUNHA)</t>
  </si>
  <si>
    <t>FOYER</t>
  </si>
  <si>
    <t>WC PCD. FEM</t>
  </si>
  <si>
    <t>WC PCD. MASC</t>
  </si>
  <si>
    <t>MURO (EXTERNO E INTERNO)</t>
  </si>
  <si>
    <t>JARDINS DE INVERNO</t>
  </si>
  <si>
    <t>2º PAVIMENTO</t>
  </si>
  <si>
    <t>PLATIBANDA - A1</t>
  </si>
  <si>
    <t>PLATIBANDA - A2</t>
  </si>
  <si>
    <t>PLATIBANDA - A2 - PLATIBANDA (LETREIRO)</t>
  </si>
  <si>
    <t>PLATIBANDA - A3 INTERNO</t>
  </si>
  <si>
    <t>PLATIBANDA - A3 EXTERNO</t>
  </si>
  <si>
    <t>PLATIBANDA - A4</t>
  </si>
  <si>
    <t>RESERVATÓRIOS 01</t>
  </si>
  <si>
    <t>ARREMATES DE QUINAS DE PAREDES</t>
  </si>
  <si>
    <t>FACHADA FRONTAL (PILARES)</t>
  </si>
  <si>
    <t>WC DO JUIZ 01</t>
  </si>
  <si>
    <t>WC DO JUIZ 02</t>
  </si>
  <si>
    <t>WC PUB MASC</t>
  </si>
  <si>
    <t>WC PUB FEM</t>
  </si>
  <si>
    <t xml:space="preserve">COPA </t>
  </si>
  <si>
    <t>SALÃO DO JÚRI</t>
  </si>
  <si>
    <t>COLA PARA FIXAÇÃO DAS PLACAS ACÚSTICAS</t>
  </si>
  <si>
    <t>SALA DE AUDIÊNCIA 01</t>
  </si>
  <si>
    <t>SALA DE AUDIÊNCIA 02</t>
  </si>
  <si>
    <t>GABINETE DO JUIZ 01</t>
  </si>
  <si>
    <t>GABINETE DO JUIZ 02</t>
  </si>
  <si>
    <t>ENTRADA COBERTA</t>
  </si>
  <si>
    <t>HALL CENTRAL - PAREDE</t>
  </si>
  <si>
    <t>FOYER - PAREDE</t>
  </si>
  <si>
    <t>SOLEIRAS DE PORTAS</t>
  </si>
  <si>
    <t>ESTACIONAMENTO INTERNO</t>
  </si>
  <si>
    <t>PERÍMETRO TOTAL DE MEIO FIO INTERNO</t>
  </si>
  <si>
    <t>PERÍMETRO TOTAL DE MEIO FIO CALÇADA</t>
  </si>
  <si>
    <t>68333</t>
  </si>
  <si>
    <t>PISO CIMENTADO FÓRUM</t>
  </si>
  <si>
    <t>RAMPA - DEPÓSITO DE APREENSÕES</t>
  </si>
  <si>
    <t>RAMPA - CELA</t>
  </si>
  <si>
    <t>CALÇADA EXTERNA</t>
  </si>
  <si>
    <t>COMP - 00/016</t>
  </si>
  <si>
    <t>CIRCULAÇÃO EXTERNA</t>
  </si>
  <si>
    <t>ESCADA - ACESSO PRINCIPAL</t>
  </si>
  <si>
    <t>SOLEIRAS</t>
  </si>
  <si>
    <t>CIRCULAÇÃO CELA</t>
  </si>
  <si>
    <t>DEMARCAÇÃO DE VAGAS PARA CARROS - ESTACIONAMENTO FRONTAL</t>
  </si>
  <si>
    <t>DEMARCAÇÃO DE VAGAS PARA MOTOS</t>
  </si>
  <si>
    <t>ESTACIONAMENTO DO JUIZ</t>
  </si>
  <si>
    <t>VAGA DEFICIENTE</t>
  </si>
  <si>
    <t>RAMPA DEFICIENTE</t>
  </si>
  <si>
    <t>ESTACIONAMENTO GESTANTE</t>
  </si>
  <si>
    <t>ESTACIONAMENTO DEFICIENTE</t>
  </si>
  <si>
    <t>ESTACIONAMENTO IDOSO</t>
  </si>
  <si>
    <t>MASTRO</t>
  </si>
  <si>
    <t>BICICLETÁRIO</t>
  </si>
  <si>
    <t>FATOR K</t>
  </si>
  <si>
    <t>COBOGÓS</t>
  </si>
  <si>
    <t>CALÇADA</t>
  </si>
  <si>
    <t>INSTALAÇÕES HIDRÁULICAS</t>
  </si>
  <si>
    <t>Joelho 45º ø100mm</t>
  </si>
  <si>
    <t>Joelho 45º ø40mm</t>
  </si>
  <si>
    <t>Joelho 45º ø50mm</t>
  </si>
  <si>
    <t>Joelho 45º ø75mm</t>
  </si>
  <si>
    <t>Joelho 90º ø40mm</t>
  </si>
  <si>
    <t>Joelho 90º ø50mm</t>
  </si>
  <si>
    <t>Joelho 90º ø150mm</t>
  </si>
  <si>
    <t>Joelho 90º ø100mm</t>
  </si>
  <si>
    <t>Curva 90º curta ø100mm</t>
  </si>
  <si>
    <t>Curva 90º longa ø100mm</t>
  </si>
  <si>
    <t>Grelha redonda</t>
  </si>
  <si>
    <t>Junção Simples ø100 x ø50mm</t>
  </si>
  <si>
    <t>Junção Simples ø100 x ø75mm</t>
  </si>
  <si>
    <t>Junção 40mm</t>
  </si>
  <si>
    <t>Junção ø50mm</t>
  </si>
  <si>
    <t>Luva 100 correr</t>
  </si>
  <si>
    <t>redução excentrica 100 x 75mm</t>
  </si>
  <si>
    <t>Bucha de redução 50 x40mm</t>
  </si>
  <si>
    <t>Tê  PVC ø100 X 50mm</t>
  </si>
  <si>
    <t>Tê  PVC ø 50 x 50mm</t>
  </si>
  <si>
    <t>Tubo Soldável PVC-S ø40mm</t>
  </si>
  <si>
    <t>Tubo Soldável PVC-S ø50mm</t>
  </si>
  <si>
    <t xml:space="preserve">Tubo Soldável PVC-S ø75mm </t>
  </si>
  <si>
    <t>Tubo Soldável PVC-S ø100mm</t>
  </si>
  <si>
    <t>Tubo Soldável PVC-S ø150mm</t>
  </si>
  <si>
    <t>Tubo Soldável PVC-S ø200mm</t>
  </si>
  <si>
    <t>Caixa sifonada</t>
  </si>
  <si>
    <t>INSTALAÇÕES HIDRÁULICAS TÉRREO</t>
  </si>
  <si>
    <t>RALOS DA COBERTA</t>
  </si>
  <si>
    <t>Caixa de inpeção</t>
  </si>
  <si>
    <t>Terminal de ventilação</t>
  </si>
  <si>
    <t>Anel de borracha 100mm</t>
  </si>
  <si>
    <t>Anel de borracha 50mm</t>
  </si>
  <si>
    <t>Anel de borracha 75mm</t>
  </si>
  <si>
    <t>DRENOS DOS SPLITS</t>
  </si>
  <si>
    <t>CAIXAS COM GRELHA DE DRENAGEM</t>
  </si>
  <si>
    <t>CAIXAS DE INSPEÇÃO PLUVIAL</t>
  </si>
  <si>
    <t>CAIXAS DE INSPEÇÃO ESGOTO</t>
  </si>
  <si>
    <t>WC DOS SERVIDORES</t>
  </si>
  <si>
    <t>WC DOS FUNCIONÁRIOS</t>
  </si>
  <si>
    <t xml:space="preserve">WC PÚBLICO  </t>
  </si>
  <si>
    <t>WC MP E DEFENSORIA</t>
  </si>
  <si>
    <t>WC PÚB</t>
  </si>
  <si>
    <t>WC SERVIDORES</t>
  </si>
  <si>
    <t>WC FUNC</t>
  </si>
  <si>
    <t>WC PCD</t>
  </si>
  <si>
    <t>WC PUB</t>
  </si>
  <si>
    <t>WC MP E DEF.</t>
  </si>
  <si>
    <t>ÁREA EXTERNA - JARDIM</t>
  </si>
  <si>
    <t>PLACA INDICATIVA - M1</t>
  </si>
  <si>
    <t>PLACA INDICATIVA - E7</t>
  </si>
  <si>
    <t>PLACA INDICATIVA - S14</t>
  </si>
  <si>
    <t>PLACA INDICATIVA - E2</t>
  </si>
  <si>
    <t>PLACA INDICATIVA - E5</t>
  </si>
  <si>
    <t>PLACA INDICATIVA - S2</t>
  </si>
  <si>
    <t>PLACA INDICATIVA - S1</t>
  </si>
  <si>
    <t>PLACA INDICATIVA - S3</t>
  </si>
  <si>
    <t>INSTALAÇÕES DE COMBATE A INCÊNDIO</t>
  </si>
  <si>
    <t>INSTALAÇÕES DE COMBATE A INCÊNDIO - ACIONADOR MANUAL BOMBA INCÊNDIO</t>
  </si>
  <si>
    <t>Instalação do transformador</t>
  </si>
  <si>
    <t>Disjuntor - subestação</t>
  </si>
  <si>
    <t>Subestação</t>
  </si>
  <si>
    <t>QUADRO MEDIÇÃO - ENTRADA</t>
  </si>
  <si>
    <t>QF GERAL</t>
  </si>
  <si>
    <t>QD FL - VARA CRIMINAL</t>
  </si>
  <si>
    <t>QD FL - VARA CÍVEL</t>
  </si>
  <si>
    <t>QD FL - ANEXOS</t>
  </si>
  <si>
    <t>QD FL - TRIBUNAL</t>
  </si>
  <si>
    <t>QD EST - VARA CRIMINAL</t>
  </si>
  <si>
    <t>QD EST - VARA ANEXOS</t>
  </si>
  <si>
    <t>QD EST - VARA CÍVEL</t>
  </si>
  <si>
    <t>QD ESTABILIZADO</t>
  </si>
  <si>
    <t>QD CLI - TRIBUNAL</t>
  </si>
  <si>
    <t>QD CLI - VARA CRIMINAL</t>
  </si>
  <si>
    <t>QD CLI - ANEXOS</t>
  </si>
  <si>
    <t>QD CLI - VARA CÍVEL</t>
  </si>
  <si>
    <t>QD BOMBAS - FORÇA E COMANDO</t>
  </si>
  <si>
    <t>CAIXA DE PASSAGEM PARA ALIMENTADORES</t>
  </si>
  <si>
    <t>INSTALAÇÕES ELÉTRICAS</t>
  </si>
  <si>
    <t>CAIXAS DE PASSAGENS</t>
  </si>
  <si>
    <t>MARCADOR TIPO ANILHA MILLENIUM MHG DE PVC FLEXÍVEL PARA CABO 1,5MM²</t>
  </si>
  <si>
    <t>MARCADOR TIPO ANILHA MILLENIUM MHG DE PVC FLEXÍVEL PARA CABO 2,5MM²</t>
  </si>
  <si>
    <t>MARCADOR TIPO ANILHA MILLENIUM MHG DE PVC FLEXÍVEL PARA CABO 4,0MM²</t>
  </si>
  <si>
    <t>MARCADOR TIPO ANILHA MILLENIUM MHG DE PVC FLEXÍVEL PARA CABO 6,0MM²</t>
  </si>
  <si>
    <t>MARCADOR TIPO ANILHA MILLENIUM MHG DE PVC FLEXÍVEL PARA CABO 10,0MM²</t>
  </si>
  <si>
    <t>MARCADOR TIPO ANILHA MILLENIUM MHG DE PVC FLEXÍVEL PARA CABO 35,0MM²</t>
  </si>
  <si>
    <t>MARCADOR TIPO ANILHA MILLENIUM MHG DE PVC FLEXÍVEL PARA CABO 70,0MM²</t>
  </si>
  <si>
    <t>Terminal compressão</t>
  </si>
  <si>
    <t>DISJUNTORES ALIMENTADORES</t>
  </si>
  <si>
    <t>QM1</t>
  </si>
  <si>
    <t>ELETRODUTO ENTRADA</t>
  </si>
  <si>
    <t>ELETRODUTO INSTALAÇÕES</t>
  </si>
  <si>
    <t>CABO COBRE 70MM - ALIMENTADORES</t>
  </si>
  <si>
    <t>CABO COBRE 35MM - ALIMENTADORES</t>
  </si>
  <si>
    <t>CABO COBRE 6MM - ALIMENTADORES</t>
  </si>
  <si>
    <t>CABO COBRE 4MM - ALIMENTADORES</t>
  </si>
  <si>
    <t>CABO COBRE NÚ 50MM - ALIMENTADORES</t>
  </si>
  <si>
    <t>TOMADA DUPLA ESTABILIZADA - COR VERMELHA</t>
  </si>
  <si>
    <t>TOMADA DUPLA ESTABILIZADA - PARA PISO</t>
  </si>
  <si>
    <t>INSTALAÇÕES ELÉTRICAS ESTABILIZADA</t>
  </si>
  <si>
    <t>Anilha para identificação</t>
  </si>
  <si>
    <t>Disjuntor monopolar 16A</t>
  </si>
  <si>
    <t>.</t>
  </si>
  <si>
    <t>Disjuntor monopolar 20A</t>
  </si>
  <si>
    <t>INSTALAÇÕES ELÉTRICAS ESTABILIZADAS</t>
  </si>
  <si>
    <t>INSTALAÇÕES SPDA</t>
  </si>
  <si>
    <t xml:space="preserve">Parafuso auto-atarraxante - SPDA </t>
  </si>
  <si>
    <t>Barra drendonda de aço galvanizado A FOGO- SPDA</t>
  </si>
  <si>
    <t>Hate de aterramento 5/8 - SPDA</t>
  </si>
  <si>
    <t>Cabo de cobre nú 35mm² - SPDA - 393.66M - COBERTA</t>
  </si>
  <si>
    <t>Cabo de cobre nú 50mm² - SPDA TÉRREO</t>
  </si>
  <si>
    <t>Tomada dupla 10A</t>
  </si>
  <si>
    <t>Tomada dupla 20A</t>
  </si>
  <si>
    <t>Tomada simples 10A</t>
  </si>
  <si>
    <t>TOMADAS PARA LUMINÁRIAS DE EMERGÊNCIA</t>
  </si>
  <si>
    <t>QDFL - VARA CRIMINAL</t>
  </si>
  <si>
    <t>QDFL - VARA CÍVEL</t>
  </si>
  <si>
    <t>QDFL - ANEXOS</t>
  </si>
  <si>
    <t>QDFL - SERVIÇO</t>
  </si>
  <si>
    <t>QDFL - TRIBUNAL</t>
  </si>
  <si>
    <t>QD - BOMBAS</t>
  </si>
  <si>
    <t>INSTALAÇÕES ELÉTRICAS - BOMBAS DE RECALQUE</t>
  </si>
  <si>
    <t>WC PNE PÚBLICO MASCULINO</t>
  </si>
  <si>
    <t>WC PNE PÚBLICO FEMININO</t>
  </si>
  <si>
    <t>REFLETOR LETREIRO</t>
  </si>
  <si>
    <t>REFLETOR  EMBUTIDO NO SOLO</t>
  </si>
  <si>
    <t>Projetor 86w - área externa</t>
  </si>
  <si>
    <t>Poste - área externa</t>
  </si>
  <si>
    <t>Área externa</t>
  </si>
  <si>
    <t>INSTALAÇÕES LÓGICA</t>
  </si>
  <si>
    <t>CABISTA PARA INSTALAÇÃO DO (RACK, SWITCH, PATCH PANEL, VOICE PANEL E CENTRAL PABX)</t>
  </si>
  <si>
    <t>ELETRODUTO RIGIDO 32MM - PAREDES</t>
  </si>
  <si>
    <t>ELETRODUTO RIGIDO 32MM - PISO</t>
  </si>
  <si>
    <t>Técnico em informática, instalação de câmera.</t>
  </si>
  <si>
    <t>Guia de cabos</t>
  </si>
  <si>
    <t>Patch cord - CFTV</t>
  </si>
  <si>
    <t>bandeja par rack 19''- CFTV</t>
  </si>
  <si>
    <t>Conector macho RJ 45- CFTV</t>
  </si>
  <si>
    <t>Cabo UTP - CFTV</t>
  </si>
  <si>
    <t>Tomada simples RJ-45 - CFTV</t>
  </si>
  <si>
    <t>Tomada dupla RJ-45 - CFTV</t>
  </si>
  <si>
    <t>Caixa de passagem pvc - CFTV</t>
  </si>
  <si>
    <t>Central técnica</t>
  </si>
  <si>
    <t>Caixa de derivação ecom placa cega - CFTV</t>
  </si>
  <si>
    <t>Poste telecônico - CFTV</t>
  </si>
  <si>
    <t>Eletroduto PEAD - CFTV</t>
  </si>
  <si>
    <t>Eletroduto rosqueável - CFTV</t>
  </si>
  <si>
    <t>Curva eletroduto- CFTV</t>
  </si>
  <si>
    <t>Luva eletroduto- CFTV</t>
  </si>
  <si>
    <t>Bucha de aluminio para eletroduto - CFTV</t>
  </si>
  <si>
    <t>Eletroduto rigido roscavel - CFTV</t>
  </si>
  <si>
    <t>Curva para eletroduto- CFTV</t>
  </si>
  <si>
    <t>Eletroduto - CFTV</t>
  </si>
  <si>
    <t>Eletroduto reforçado - CFTV</t>
  </si>
  <si>
    <t>Luva -  CFTV</t>
  </si>
  <si>
    <t>Eletroduto reforçado 32mm CFTV</t>
  </si>
  <si>
    <t>Luva pressao 32mm CFTV</t>
  </si>
  <si>
    <t>Caixa de alvenaria30x30 CFTV</t>
  </si>
  <si>
    <t xml:space="preserve">BENGALAS PRA SAÍDA DE TUBULAÇÃO DE COBRE NA LAJE - 3UN JOELHOS 45º DE Ø75MM POR SAÍDA </t>
  </si>
  <si>
    <t xml:space="preserve">BENGALAS PRA SAÍDA DE TUBULAÇÃO DE COBRE NA LAJE - 1M DE TUBO DE Ø75MM POR SAÍDA </t>
  </si>
  <si>
    <t xml:space="preserve">BENGALAS PRA SAÍDA DE TUBULAÇÃO DE COBRE NA LAJE - 1UN DE FURO DE CONCRETO DE Ø75MM POR SAÍDA </t>
  </si>
  <si>
    <t>DRENOS DOS CONDICIONADORES DE AR</t>
  </si>
  <si>
    <t>EV01 - CD01</t>
  </si>
  <si>
    <t>EV02 - CD02</t>
  </si>
  <si>
    <t>EV03 - CD03</t>
  </si>
  <si>
    <t>EV04 - CD04</t>
  </si>
  <si>
    <t>EV05 - CD05</t>
  </si>
  <si>
    <t>EV06 - CD06</t>
  </si>
  <si>
    <t>EV07 - CD07</t>
  </si>
  <si>
    <t>EV08 - CD08</t>
  </si>
  <si>
    <t>EV09 - CD09</t>
  </si>
  <si>
    <t>EV10 - CD10</t>
  </si>
  <si>
    <t>EV11 - CD11</t>
  </si>
  <si>
    <t>EV12 - CD12</t>
  </si>
  <si>
    <t>EV13 - CD13</t>
  </si>
  <si>
    <t>EV14 - CD14</t>
  </si>
  <si>
    <t>EV15 - CD15</t>
  </si>
  <si>
    <t>EV16 - CD16</t>
  </si>
  <si>
    <t>EV17 - CD17</t>
  </si>
  <si>
    <t>EV18 - CD18</t>
  </si>
  <si>
    <t>EV19 - CD19</t>
  </si>
  <si>
    <t>EV20 - CD20</t>
  </si>
  <si>
    <t>EV21 - CD21</t>
  </si>
  <si>
    <t>EV22 - CD22</t>
  </si>
  <si>
    <t>EV23 - CD23</t>
  </si>
  <si>
    <t>AR CONDICIONADO - RECEPÇÃO</t>
  </si>
  <si>
    <t>AR CONDICIONADO - CADASTRO</t>
  </si>
  <si>
    <t>AR CONDICIONADO - OAB</t>
  </si>
  <si>
    <t>AR CONDICIONADO - DEFEN. PÚBLICA</t>
  </si>
  <si>
    <t>AR CONDICIONADO - VARA CÍVEL - AUDIÊNCIA</t>
  </si>
  <si>
    <t>AR CONDICIONADO - VARA CÍVEL - ASSESSORIA</t>
  </si>
  <si>
    <t>AR CONDICIONADO - VARA CÍVEL - GABINETE JUIZ</t>
  </si>
  <si>
    <t>AR CONDICIONADO - VARA CÍVEL - SECRETARIA</t>
  </si>
  <si>
    <t>AR CONDICIONADO - VARA CRIMINAL - ASSESSORIA</t>
  </si>
  <si>
    <t>AR CONDICIONADO - VARA CRIMINAL - GABINETE JUIZ</t>
  </si>
  <si>
    <t>AR CONDICIONADO - VARA CRIMINAL - SECRETARIA</t>
  </si>
  <si>
    <t>AR CONDICIONADO - CENTRAL TÉCNICA</t>
  </si>
  <si>
    <t>AR CONDICIONADO - VARA CRIMINAL - AUDIÊNCIA</t>
  </si>
  <si>
    <t>AR CONDICIONADO - VARA CRIMINAL - SALÃO DO JURI</t>
  </si>
  <si>
    <t>COMPLEMENTO DE GÁS PARA INSTALAÇÕES DE AR</t>
  </si>
  <si>
    <t>Placa de "Cuidado" fixada na porta</t>
  </si>
  <si>
    <t>PLACA DE "CUIDADO" FIXADA NA PORTA</t>
  </si>
  <si>
    <t>SISTEMA DE SOM SALÃO DO JURI</t>
  </si>
  <si>
    <t>m</t>
  </si>
  <si>
    <t>un</t>
  </si>
  <si>
    <t>WC DO JUIZ (2)</t>
  </si>
  <si>
    <t>WC FEM E MASC SERVIDORES (2) - LAVATÓRIO</t>
  </si>
  <si>
    <t>WC FUNCIONÁRIOS</t>
  </si>
  <si>
    <t>WC PUB MASC E FEM (2)</t>
  </si>
  <si>
    <t>WC MP E DEF (2)</t>
  </si>
  <si>
    <t>BICICLETÁRIO ESTACIONAMENTO</t>
  </si>
  <si>
    <t>MASTROS SIMPLES</t>
  </si>
  <si>
    <t>BASE PARA MASTRO</t>
  </si>
  <si>
    <t>ESCADA ACESSO A COBERTA 1</t>
  </si>
  <si>
    <t>ESCADA ACESSO A COBERTA 2</t>
  </si>
  <si>
    <t>SALA DE AUDIÊNCIA - VARA CÍVEL</t>
  </si>
  <si>
    <t>SALA DE AUDIÊNCIA - VARA CRIMINAL</t>
  </si>
  <si>
    <t>INSTALAÇÃO DE PAINEL MDF SALÃO DO JURI</t>
  </si>
  <si>
    <t>CORRIMÃO E GUARDA CORPO RAMPA - FRONTAL</t>
  </si>
  <si>
    <t>CORRIMÃO RAMPA - ACESSO LATERAL ESQUERDO</t>
  </si>
  <si>
    <t>CORRIMÃO ESCADA - ACESSO LATERAL DIREITO</t>
  </si>
  <si>
    <t>PISO DE ALERTA COR VERMELHO</t>
  </si>
  <si>
    <t>PISO DIRECIONAL COR VERMELHO</t>
  </si>
  <si>
    <t xml:space="preserve">WC DO JUIZ </t>
  </si>
  <si>
    <t>WC PUB MASC E FEM</t>
  </si>
  <si>
    <t>GRAMA JARDIM</t>
  </si>
  <si>
    <t>PEDRISCO JARDINAGEM</t>
  </si>
  <si>
    <t>IMBÊ</t>
  </si>
  <si>
    <t>CHEFLERA-PEQUENA</t>
  </si>
  <si>
    <t>PALMEIRA RÁFIA</t>
  </si>
  <si>
    <t>ARECA BAMBU</t>
  </si>
  <si>
    <t>ZAMIOCULCA</t>
  </si>
  <si>
    <t>Fachada</t>
  </si>
  <si>
    <t>Tribunal do juri</t>
  </si>
  <si>
    <t>entrada tribunal do juri</t>
  </si>
  <si>
    <t>entrada OAB</t>
  </si>
  <si>
    <t>entrada acesso restrito</t>
  </si>
  <si>
    <t>Sala de espera</t>
  </si>
  <si>
    <t>Banheiros - masc/fem</t>
  </si>
  <si>
    <t>Ministerio publico, defensoria pública, central técnica, secretaria, gabinete do juiz</t>
  </si>
  <si>
    <t>Arquivo, almoxarifado, copa, serviço, assessoria, saida, audiencia</t>
  </si>
  <si>
    <t>Rec. testemunha, rec. Suspeito, tribunal do juri, acesso restrito, recepção</t>
  </si>
  <si>
    <t>Exclusivo deficiente - 4 vagas</t>
  </si>
  <si>
    <t>Exclusivo idoso - 2 vagas</t>
  </si>
  <si>
    <t>Exclusivo gestante - 2 vagas</t>
  </si>
  <si>
    <t>Motos/bicicletário</t>
  </si>
  <si>
    <t>Limpeza da oba</t>
  </si>
  <si>
    <t xml:space="preserve">CÂMERAS DE CFTV  </t>
  </si>
  <si>
    <t>rede de distribuição</t>
  </si>
  <si>
    <t>Câmeras de CFTV</t>
  </si>
  <si>
    <t>UB</t>
  </si>
  <si>
    <t>CFTV - cameras</t>
  </si>
  <si>
    <t>Subwoofer da sonorização</t>
  </si>
  <si>
    <t>SENSOR DE MOVIMENTO</t>
  </si>
  <si>
    <t>Nobreak 25kva</t>
  </si>
  <si>
    <t>Amplificador da sonorização</t>
  </si>
  <si>
    <t>MESA 16 CANAIS SOUND PRO</t>
  </si>
  <si>
    <t>Microfone - PROMOTOR E REU</t>
  </si>
  <si>
    <t>Mist audio da sonorização</t>
  </si>
  <si>
    <t>Microfone JUIZ</t>
  </si>
  <si>
    <t>Cabo da sonorização</t>
  </si>
  <si>
    <t>Portas de acesso principal e lateral</t>
  </si>
  <si>
    <t>Substação</t>
  </si>
  <si>
    <t>CRONOGRAMA FÍSICO-FINANCEIRO BÁSICO</t>
  </si>
  <si>
    <t>PERÍODO: 08 MESES</t>
  </si>
  <si>
    <t>PROGRAMAÇÃO (MESES)</t>
  </si>
  <si>
    <t>ETAPAS</t>
  </si>
  <si>
    <t>BÁSICO INICIAL</t>
  </si>
  <si>
    <t>INCC (%)</t>
  </si>
  <si>
    <t>BÁSICO ATUAL</t>
  </si>
  <si>
    <t>MÊS 1</t>
  </si>
  <si>
    <t>MÊS 2</t>
  </si>
  <si>
    <t>MÊS 3</t>
  </si>
  <si>
    <t>MÊS 4</t>
  </si>
  <si>
    <t>MÊS 5</t>
  </si>
  <si>
    <t>MÊS 6</t>
  </si>
  <si>
    <t>MÊS 7</t>
  </si>
  <si>
    <t>MÊS 8</t>
  </si>
  <si>
    <t>A</t>
  </si>
  <si>
    <t>TOTAL SIMPLES R$</t>
  </si>
  <si>
    <t>C</t>
  </si>
  <si>
    <t>TOTAL ACUMULADO R$</t>
  </si>
  <si>
    <t>D</t>
  </si>
  <si>
    <t>TOTAL PARCIAL %</t>
  </si>
  <si>
    <t>E</t>
  </si>
  <si>
    <t>TOTAL ACUMUL %</t>
  </si>
  <si>
    <t>CRONOGRAMA FÍSICO-FINANCEIRO BÁSICO - EQUIPAMENTOS</t>
  </si>
  <si>
    <t>PROGRAMAÇÃO (8 MESES)</t>
  </si>
  <si>
    <t xml:space="preserve">EQUIPAMENTOS </t>
  </si>
  <si>
    <t>COMPOSIÇÕES AUXILIARES - CIVIL</t>
  </si>
  <si>
    <t>COMPOSIÇÃO 01</t>
  </si>
  <si>
    <t>CÓDIGO COMP.</t>
  </si>
  <si>
    <t>DESCRIÇÃO DO SERVIÇO</t>
  </si>
  <si>
    <t>UNIDADE</t>
  </si>
  <si>
    <t>COMP - 00/01</t>
  </si>
  <si>
    <t>UND</t>
  </si>
  <si>
    <t>COMPOSIÇÃO DE PREÇO</t>
  </si>
  <si>
    <t>DESCRIÇÃO DA COMPOSIÇÃO</t>
  </si>
  <si>
    <t>UNID</t>
  </si>
  <si>
    <t>CUSTO UNIT</t>
  </si>
  <si>
    <t>CUSTO TOTAL</t>
  </si>
  <si>
    <t>88267 - SINAPI</t>
  </si>
  <si>
    <t>ENCANADOR COM ENCARGOS COMPLEMENTARES</t>
  </si>
  <si>
    <t>88316 - SINAPI</t>
  </si>
  <si>
    <t>SERVENTE COM ENCARGOS COMPLEMENTARES</t>
  </si>
  <si>
    <t>2394 - ORSE</t>
  </si>
  <si>
    <t>VÁLVULA DESCARGA, HYDRA MAX, REF.4550, 1 1/4, ACABAMENTO CROMADO ( DECA OU SIMILAR)</t>
  </si>
  <si>
    <t>3673 - ORSE</t>
  </si>
  <si>
    <t>ACABAMENTO PARA VÁLVULA DE DESCARGA DOCOL LINHA BENEFIT, REF 1840106, CROMO OU SIMILAR</t>
  </si>
  <si>
    <t>981 - ORSE</t>
  </si>
  <si>
    <t>FITA VEDA ROSCA 18MM</t>
  </si>
  <si>
    <t>EQUIPAMENTO</t>
  </si>
  <si>
    <t>MATERIAL</t>
  </si>
  <si>
    <t>MÃO-DE-OBRA</t>
  </si>
  <si>
    <t>ENC. SOCIAL</t>
  </si>
  <si>
    <t>TERCEIROS</t>
  </si>
  <si>
    <t>VALOR TOTAL</t>
  </si>
  <si>
    <t>COMPOSIÇÃO 02</t>
  </si>
  <si>
    <t>REFERÊNCIA COMPOSIÇÃO 11369 - ORSE</t>
  </si>
  <si>
    <t>COMP - 00/02</t>
  </si>
  <si>
    <t>REVESTIMENTO CERÂMICO PARA PAREDE, 10 X 10 CM, ELIANE, LINHA GALERIA BRANCO MESH, PEI - 3, APLICADO COM ARGAMASSA INDUSTRIALIZADA AC-II, REJUNTADO, EXCLUSIVE REGULARIZAÇÃO DE BASE OU EMBOÇO</t>
  </si>
  <si>
    <t>4750 - SINAPI</t>
  </si>
  <si>
    <t>PEDREIRO (HORISTA)</t>
  </si>
  <si>
    <t>6111 - SINAPI</t>
  </si>
  <si>
    <t>SERVENTE DE OBRAS</t>
  </si>
  <si>
    <t>2540 - ORSE</t>
  </si>
  <si>
    <t>REJUNTE COLORIDO FLEXIVEL PARA REVESTIMENTOS CERÂMICOS</t>
  </si>
  <si>
    <t>COTAÇÃO</t>
  </si>
  <si>
    <t>CERÂMICA 10 X 10 CM, PEI-3, ELIANE, LINHA GALERIA BRANCO MESH OU SIMILAR</t>
  </si>
  <si>
    <t>3407 - ORSE</t>
  </si>
  <si>
    <t>ARGAMASSA INDUSTRIALIZADA AC-II, VOTOMASSA OU SIMILAR</t>
  </si>
  <si>
    <t>10549 - ORSE</t>
  </si>
  <si>
    <t>ENCARGOS COMPLEMENTARES - SERVENTE</t>
  </si>
  <si>
    <t>10550 - ORSE</t>
  </si>
  <si>
    <t>ENCARGOS COMPLEMENTARES - PEDREIRO</t>
  </si>
  <si>
    <t> </t>
  </si>
  <si>
    <t xml:space="preserve">TERCEIROS </t>
  </si>
  <si>
    <t xml:space="preserve">VALOR TOTAL </t>
  </si>
  <si>
    <t>COMPOSIÇÃO 03</t>
  </si>
  <si>
    <t>COMP - 00/03</t>
  </si>
  <si>
    <t>MERCADO</t>
  </si>
  <si>
    <t>BUCHA SD 08MM</t>
  </si>
  <si>
    <t>CANETA PINCEL PINTA RISCA IMBUIA</t>
  </si>
  <si>
    <t>CANT.FIX."L" C/CAPA 54X28 SASPLA PTO (EMB.C/10) (AT)</t>
  </si>
  <si>
    <t>EMB</t>
  </si>
  <si>
    <t>COLA CONTATO CASCOLA TRADI S/TOLUOL 730G 1000466</t>
  </si>
  <si>
    <t>ESTOPA LIMPEZA GLOBO 200G</t>
  </si>
  <si>
    <t>FITA DESIGN TRANCOSO 0,45MM X H22 20MTS</t>
  </si>
  <si>
    <t>ML</t>
  </si>
  <si>
    <t>FITA DESIGN TRANCOSO 0,45MM X H64 20MTS</t>
  </si>
  <si>
    <t>LAMINA TICO-TICO DW 4'' MAD.ACAB.FINO E/T 10DPP AC</t>
  </si>
  <si>
    <t>CAR</t>
  </si>
  <si>
    <t>MDF DTX DESIGN TRANCOSO TX 18MM 1,84</t>
  </si>
  <si>
    <t>CH</t>
  </si>
  <si>
    <t>PARAF.4.0X50 C/300 PAFICHPHBC</t>
  </si>
  <si>
    <t>PARAF.6.0X60 C/100 PAFICHPHBC</t>
  </si>
  <si>
    <t>THINNER EUCATEX 0,9L (AT)!!</t>
  </si>
  <si>
    <t>SERVIÇO DE CORTE</t>
  </si>
  <si>
    <t>88273 - SINAPI</t>
  </si>
  <si>
    <t xml:space="preserve">MARCENEIRO COM ENCARGOS COMPLEMENTARES </t>
  </si>
  <si>
    <t>COMPOSIÇÃO 04</t>
  </si>
  <si>
    <t>REFERÊNCIA COMPOSIÇÃO 3764 - ORSE</t>
  </si>
  <si>
    <t>COMP - 00/04</t>
  </si>
  <si>
    <t>PORTA EM MADEIRA COMPENSADA (CANELA), LISA, SEMI-ÔCA, 0.70 X 2.10 M, REVESTIDA C/FÓRMICA, INCLUSIVE BATENTES E FERRAGENS</t>
  </si>
  <si>
    <t>1806 - ORSE</t>
  </si>
  <si>
    <t>PORTA EM MADEIRA COMPENSADA CANELA, LISA, SEMI-OCA - 70 X (160 A 210) X 3,5CM</t>
  </si>
  <si>
    <t>13330 - ORSE</t>
  </si>
  <si>
    <t>FECHADURA PADO, LINHA RESIDENCE, MAÇANETA EM ZAMAC, TESTA E CONTRA TESTA EM AÇO INOXIDÁVEL, CILINDRO EM ZAMAC, REF.401 E, CROMADA, OU SIMILAR</t>
  </si>
  <si>
    <t>1213 - SINAPI</t>
  </si>
  <si>
    <t>CARPINTEIRO DE FORMAS (HORISTA)</t>
  </si>
  <si>
    <t>1339 - SINAPI</t>
  </si>
  <si>
    <t>COLA A BASE DE RESINA SINTETICA PARA CHAPA DE LAMINADO MELAMINICO</t>
  </si>
  <si>
    <t>1341 - SINAPI</t>
  </si>
  <si>
    <t>CHAPA DE LAMINADO MELAMINICO, TEXTURIZADO, DE *1,25 X 3,08*M, E = 0,8 MM</t>
  </si>
  <si>
    <t>5075 - SINAPI</t>
  </si>
  <si>
    <t>PREGO DE ACO POLIDO COM CABECA 18 X 30 (2 3/4 X 10)</t>
  </si>
  <si>
    <t>1769 - ORSE</t>
  </si>
  <si>
    <t>BATENTE EM MADEIRA DE LEI L = 0,14 M (CAIXÃO), PARA PORTAS DE 0,60 A 1,00M DE LARGURA, H=2,20M, INCLUSO 02 JOGOS DE ALIZAR</t>
  </si>
  <si>
    <t>8957 - ORSE</t>
  </si>
  <si>
    <t>DOBRADIÇA DE FERRO CROMADO 3" X 2 1/2" COM ANEIS E PARAFUSOS</t>
  </si>
  <si>
    <t>10551 - ORSE</t>
  </si>
  <si>
    <t>ENCARGOS COMPLEMENTARES - CARPINTEIRO</t>
  </si>
  <si>
    <t>COMPOSIÇÃO 05</t>
  </si>
  <si>
    <t>COMP - 00/05</t>
  </si>
  <si>
    <t>PORTA EM MADEIRA COMPENSADA (CANELA), LISA, SEMI-ÔCA, 0.90 X 2.10 M, REVESTIDA C/FÓRMICA, INCLUSIVE BATENTES E FERRAGENS - COM PUXADOR HORIZONTAL E REVESTIMENTO COM PROTEÇÃO CONTRA IMPACTOS</t>
  </si>
  <si>
    <t>1808 - ORSE</t>
  </si>
  <si>
    <t>PORTA EM MADEIRA COMPENSADA CANELA, LISA, SEMI-OCA - 90 X (160 A 210) X 3,5CM</t>
  </si>
  <si>
    <t>100874 - SINAPI</t>
  </si>
  <si>
    <t>PUXADOR PARA PCD, FIXADO NA PORTA - FORNECIMENTO E INSTALAÇÃO. AF_01/2020</t>
  </si>
  <si>
    <t>9076 - ORSE</t>
  </si>
  <si>
    <t>CHAPA DE ALUMÍNIO CORRUGADA E=0,7MM</t>
  </si>
  <si>
    <t>COMPOSIÇÃO 06</t>
  </si>
  <si>
    <t>COMP - 00/06</t>
  </si>
  <si>
    <t>FORNECIMENTO E INSTALAÇÃO DE FORRO WHITE CINE AE IR25 (0.620X1.245X25MM)</t>
  </si>
  <si>
    <t>FORRO WHITE CINE AE IR25 (0.620X1.245X25MM)</t>
  </si>
  <si>
    <t>39571 - SINAPI</t>
  </si>
  <si>
    <t>PERFIL LONGARINA (PRINCIPAL), T CLICADO, EM ACO, BRANCO NAS FACES APARENTES,PARA FORRO REMOVIVEL, 24 X 32 X 3750 MM (L X H X C</t>
  </si>
  <si>
    <t>39569 - SINAPI</t>
  </si>
  <si>
    <t>PERFIL TRAVESSA (SECUNDARIO), T CLICADO, EM ACO GALVANIZADO, BRANCO, PARA FORRO REMOVIVEL, 24 X 625 MM (L X C)</t>
  </si>
  <si>
    <t>2651 - ORSE</t>
  </si>
  <si>
    <t>ARAME GALVANIZADO COM REVESTIMENTO EM PVC, 14BWG (2,8MM) - 0,031 KG/M</t>
  </si>
  <si>
    <t>88278 - SINAPI</t>
  </si>
  <si>
    <t xml:space="preserve">MONTADOR DE ESTRUTURA METÁLICA COM ENCARGOS COMPLEMENTARES </t>
  </si>
  <si>
    <t>1689 - ORSE</t>
  </si>
  <si>
    <t>PARAFUSO DE FIXAÇÃO COM BUCHA PLÁSTICA 8MM</t>
  </si>
  <si>
    <t>CJ</t>
  </si>
  <si>
    <t>COMPOSIÇÃO 07</t>
  </si>
  <si>
    <t>REFERÊNCIA COMPOSIÇÃO 12066 - ORSE</t>
  </si>
  <si>
    <t>COMP - 00/07</t>
  </si>
  <si>
    <t>PORTA DE ABRIR EM FERRO PARA CELA, C/BARRAS RED. VERTICAIS EM AÇO 1", BARRAS CHATAS HORIZONTAIS 2 1/2" X 1/4", REVESTIDA EM CHAPA AÇO 3MM, VISOR EM CHAPA ACRILICA ANTIVANDALISMO(15X51CM) E UMA TRANCA P/ PENITENCIÁRIA</t>
  </si>
  <si>
    <t>864 - ORSE</t>
  </si>
  <si>
    <t>ELETRODO AWS E-7018 (OK 48.04; WI-718) D=4MM (SOLDA ELETRICA)</t>
  </si>
  <si>
    <t>3663 - ORSE</t>
  </si>
  <si>
    <t>CHAPA AÇO FINA A QUENTE E=3,00MM, 11MSG, 24,00 KG/M2</t>
  </si>
  <si>
    <t>3664 - ORSE</t>
  </si>
  <si>
    <t>CHAPA AÇO FINA PRETA LISA Nº14, E=2,00MM (16,0 KG/M2)</t>
  </si>
  <si>
    <t>8800 - ORSE</t>
  </si>
  <si>
    <t>BARRA CHATA DE FERRO 2.1/2" X 5/16" (3,96 KG/M)</t>
  </si>
  <si>
    <t>8806 - ORSE</t>
  </si>
  <si>
    <t>BARRA CHATA DE FERRO 7/8" X 1/4" (1,11 KG/M)</t>
  </si>
  <si>
    <t>3505 - ORSE</t>
  </si>
  <si>
    <t>BARRA REDONDA DE AÇO MECANICO LAMINADO 1" (3,98 KG/M)</t>
  </si>
  <si>
    <t>8809 - ORSE</t>
  </si>
  <si>
    <t>BARRA CHATA DE FERRO 2.1/2" X 1/4" (3,17 KG/M)</t>
  </si>
  <si>
    <t>6110 - SINAPI</t>
  </si>
  <si>
    <t>SERRALHEIRO (HORISTA)</t>
  </si>
  <si>
    <t xml:space="preserve">
SERVENTE DE OBRAS</t>
  </si>
  <si>
    <t>8495 - ORSE</t>
  </si>
  <si>
    <t>DOBRADIÇA DE FERRO 65X47MM EM BARRA CHATA 2 1/2" X 1/4" E PINO AÇO 1/2" (EXCETO MÃO DE OBRA)</t>
  </si>
  <si>
    <t>8501 - ORSE</t>
  </si>
  <si>
    <t>TRANCA DE FERRO - TIPO 2- PARA PORTA EM GRADE DE FERRO, EM BARRA CHATA FERRO 2" X 1/4" E BARRA AÇO REDONDA 7/8" - EXCETO MÃO DE OBRA</t>
  </si>
  <si>
    <t>10594 - ORSE</t>
  </si>
  <si>
    <t>ENCARGOS COMPLEMENTARES - SERRALHEIRO OU OPERADOR DE EQUIPAMENTO LEVE</t>
  </si>
  <si>
    <t>7695 - ORSE</t>
  </si>
  <si>
    <t>PINTURA DE GRADIL METÁLICO, CONFECCIONADO COM BARRAS CHATA 1 1/4" X 3/16", EM MÓDULOS 16X16CM, OU TIJOLINHO 20X10CM, COM 01 DEMÃO DE TINTA ANTI-CORROSIVA - ZARCÃO E 02 DEMÃOS DE ESMALTE SINTÉTICO (MEDIR SOMENTE UMA VEZ)</t>
  </si>
  <si>
    <t>COMPOSIÇÃO 08</t>
  </si>
  <si>
    <t>REFERÊNCIA COMPOSIÇÃO 10812 - ORSE</t>
  </si>
  <si>
    <t>COMP - 00/08</t>
  </si>
  <si>
    <t>PORTÃO EM GRADIL BELGO NYLOFORD 3D, DE ABRIR, SOLDADO EM QUADRO DE TUBO GALV. 2" COM CANTONEIRA 3/4", MONTANTES EM TUBO GALVANIZADO 4", INCLUSIVE FERROLHO E DOBRADIÇAS</t>
  </si>
  <si>
    <t>9357 - ORSE</t>
  </si>
  <si>
    <t>PORTÃO EM GRADIL BELGO NYLOFORD 3D, DE CORRER, SOLDADO EM QUADRO DE TUBO GALV. 2" COM CANTONEIRA 3/4", MONTANTES EM TUBO GALVANIZADO 4", INCLUSIVE FERROLHO E RODÍZIOS</t>
  </si>
  <si>
    <t>88315 - SINAPI</t>
  </si>
  <si>
    <t>SERRALHEIRO COM ENCARGOS COMPLEMENTARES</t>
  </si>
  <si>
    <t>88251 - SINAPI</t>
  </si>
  <si>
    <t>AUXILIAR DE SERRALHEIRO COM ENCARGOS COMPLEMENTARES</t>
  </si>
  <si>
    <t>COMPOSIÇÃO 09</t>
  </si>
  <si>
    <t>REFERÊNCIA COMPOSIÇÃO 99861 - ORSE</t>
  </si>
  <si>
    <t>COMP - 00/09</t>
  </si>
  <si>
    <t>JANELA EM FERRO COM BARRAS VERTICAIS DE 1" COM 10CM DE ESPAÇAMENTO, APARELHADA NA COR PRETA.</t>
  </si>
  <si>
    <t>4777 - SINAPI</t>
  </si>
  <si>
    <t>CANTONEIRA ACO ABAS IGUAIS (QUALQUER BITOLA), ESPESSURA ENTRE 1/8" E 1/4"</t>
  </si>
  <si>
    <t>11002 - SINAPI</t>
  </si>
  <si>
    <t>ELETRODO REVESTIDO AWS - E6013, DIAMETRO IGUAL A 2,50 MM</t>
  </si>
  <si>
    <t>88629 - SINAPI</t>
  </si>
  <si>
    <t>ARGAMASSA TRAÇO 1:3 (EM VOLUME DE CIMENTO E AREIA MÉDIA ÚMIDA), PREPARO MANUAL. AF_08/2019</t>
  </si>
  <si>
    <t>COMPOSIÇÃO 10</t>
  </si>
  <si>
    <t>COMP - 00/10</t>
  </si>
  <si>
    <t>GRADE DE FERRO PROTEÇÃO COM QUADRO EM BARRA HORIZONTAL CHATA DE 3/16" X 1" E BARRA VERTICAL QUADRADA 7/16" A CADA 12CM</t>
  </si>
  <si>
    <t>546 - SINAPI</t>
  </si>
  <si>
    <t>BARRA DE FERRO CHATA, RETANGULAR (QUALQUER BITOLA)</t>
  </si>
  <si>
    <t>370-SINAPI</t>
  </si>
  <si>
    <t>AREIA MEDIA - POSTO JAZIDA/FORNECEDOR (RETIRADO NA JAZIDA, SEM TRANSPORTE)</t>
  </si>
  <si>
    <t>1379-SINAPI</t>
  </si>
  <si>
    <t>CIMENTO PORTLAND COMPOSTO CP II-32</t>
  </si>
  <si>
    <t>9171 - ORSE</t>
  </si>
  <si>
    <t>PARAFUSO CABEÇA SEXTAVADA 5/8 X 3 1/2</t>
  </si>
  <si>
    <t>88309 - SINAPI</t>
  </si>
  <si>
    <t>PEDREIRO COM ENCARGOS COMPLEMENTARES</t>
  </si>
  <si>
    <t>COMPOSIÇÃO 11</t>
  </si>
  <si>
    <t>REFERÊNCIA COMPOSIÇÃO 2020 - ORSE</t>
  </si>
  <si>
    <t>COMP - 00/11</t>
  </si>
  <si>
    <t>CUBA EM AÇO INOX AISI 304 RETANGULAR DE EMBUTIR, DIMENSÃO 34X40X17CM, P/ INSTALAÇÃO EM BANCADAS C/ VÁLVULA CROMADA DE DIÂM. 3 1/2” DA MARCA DE REF. TRAMONTINA, OU SIMILAR.</t>
  </si>
  <si>
    <t>2016 - ORSE</t>
  </si>
  <si>
    <t>SIFÃO PARA PIA DE COZINHA OU TANQUE, DECA REF. 1680.C112, ACABAMENTO CROMADO 1 1/2 X 1 1/2 OU SIMILAR.</t>
  </si>
  <si>
    <t>1744 - SINAPI</t>
  </si>
  <si>
    <t>CUBA ACO INOX (AISI 304) DE EMBUTIR COM VALVULA 3 1/2 ", DE *40 X 34 X 12* CM</t>
  </si>
  <si>
    <t xml:space="preserve">ENCANADOR OU BOMBEIRO HIDRÁULICO COM ENCARGOS COMPLEMENTARES </t>
  </si>
  <si>
    <t xml:space="preserve">SERVENTE COM ENCARGOS COMPLEMENTARES </t>
  </si>
  <si>
    <t>6141 - SINAPI</t>
  </si>
  <si>
    <t>ENGATE/RABICHO FLEXIVEL PLASTICO (PVC OU ABS) BRANCO 1/2 " X 30 CM</t>
  </si>
  <si>
    <t>6157 - SINAPI</t>
  </si>
  <si>
    <t>VALVULA EM METAL CROMADO PARA PIA AMERICANA 3.1/2 X 1.1/2 "</t>
  </si>
  <si>
    <t>COMPOSIÇÕES AUXILIARES - ELÉTRICAS</t>
  </si>
  <si>
    <t>COMP/ELE - 01</t>
  </si>
  <si>
    <t>TOMADA BAIXA 20A, NA COR VERMELHA (1 MÓDULO), INCLUINDO SUPORTE E PLACA 4X2, LINHA ÚNICA NA PAREDE</t>
  </si>
  <si>
    <t>MERC</t>
  </si>
  <si>
    <t>PLACA 4 X 2 3 POSTOS SERIE BASIC BLANCO</t>
  </si>
  <si>
    <t>SUPORTE 4X2 P/3MOD. GL ÚNICA..</t>
  </si>
  <si>
    <t>MODULO CEGO 1M BR ÚNICA..</t>
  </si>
  <si>
    <t>MOD TOMADA 2P+T 20A 250V 1M VERMELHA ÚNICA..</t>
  </si>
  <si>
    <t>88264 - SINAPI</t>
  </si>
  <si>
    <t>COMP/ELE - 02</t>
  </si>
  <si>
    <t>TOMADA BAIXA 20A, NA COR VERMELHA (2 MÓDULO), INCLUINDO SUPORTE E PLACA 4X2, LINHA ÚNICA NA PAREDE</t>
  </si>
  <si>
    <t>COMP/ELE - 03</t>
  </si>
  <si>
    <t>TOMADA BAIXA 20A, NA COR VERMELHA (3 MÓDULO), INCLUINDO SUPORTE E PLACA 4X2, LINHA ÚNICA NA PAREDE</t>
  </si>
  <si>
    <t xml:space="preserve">COMPOSIÇÃO </t>
  </si>
  <si>
    <t>COMP/ELE -04</t>
  </si>
  <si>
    <t>CABO DE ALUMÍNIO BLOQUEADO EM XLPE 50MM² - 15KV</t>
  </si>
  <si>
    <t xml:space="preserve">CABO DE ALUMINIO DOTADO DE COBERTURA PROTETORA XLPE ANTI-TACKING TAMPONADO OU BLOQUEADO PROTEGIDO POR 15KV </t>
  </si>
  <si>
    <t>http://www.campmat.com.br/tabela</t>
  </si>
  <si>
    <t>COMP/ELE - 05</t>
  </si>
  <si>
    <t>LUMINÁRIA DE EMBUTIR LAR T8 LED COM REFLETOR COM ALETAS, 2X10W COM LÂMPADAS E REATOR BIVOLT</t>
  </si>
  <si>
    <t>39389 - SINAPI</t>
  </si>
  <si>
    <t>LUMINARIA LED REFLETOR RETANGULAR BIVOLT, LUZ BRANCA, 10 W</t>
  </si>
  <si>
    <t>TOTAIS</t>
  </si>
  <si>
    <t>COMP/ELE - 06</t>
  </si>
  <si>
    <t>PLACA CEGA PARA CAIXA DE PVC 4X2</t>
  </si>
  <si>
    <t xml:space="preserve">38091 - SINAPI  </t>
  </si>
  <si>
    <t>ESPELHO / PLACA CEGA 4" X 2", PARA INSTALACAO DE TOMADAS E INTERRUPTORES</t>
  </si>
  <si>
    <t>COMP/ELE - 07</t>
  </si>
  <si>
    <t>TÊ VERTICAL PARA ELETROCALHA 300 X 75</t>
  </si>
  <si>
    <t xml:space="preserve">06545 - ORSE  </t>
  </si>
  <si>
    <t>TÊ VERTICAL 300 X 75 MM PARA ELETROCALHA METÁLICA (REF. MOPA OU SIMILAR)</t>
  </si>
  <si>
    <t>COMP/ELE - 08</t>
  </si>
  <si>
    <t xml:space="preserve">03453 - ORSE </t>
  </si>
  <si>
    <t>ELO FUSÍVEL 6k</t>
  </si>
  <si>
    <t>88247 - SINAPI</t>
  </si>
  <si>
    <t>AUXILIAR DE ELETRICISTA COM ENCARGOS COMPLEMENTARES</t>
  </si>
  <si>
    <t>COMP/ELE - 09</t>
  </si>
  <si>
    <t>PLACA CEGA, 4"X2", REF. TABLET, DA TRAMONTINA</t>
  </si>
  <si>
    <t xml:space="preserve">11620 - ORSE </t>
  </si>
  <si>
    <t>COMP/ELE - 10</t>
  </si>
  <si>
    <t>ELETRODUTO CORRUGADO FLEXÍVEL EM PEAD Ø = 1.1/2", TIPO KANALEX OU SIMILAR</t>
  </si>
  <si>
    <t>PREÇO/M</t>
  </si>
  <si>
    <t xml:space="preserve">06597 - ORSE </t>
  </si>
  <si>
    <t>COMP/ELE - 11</t>
  </si>
  <si>
    <t>ELETRODUTO CORRUGADO FLEXÍVEL EM PEAD Ø = 3", TIPO KANALEX OU SIMILAR</t>
  </si>
  <si>
    <t xml:space="preserve">02966 - ORSE </t>
  </si>
  <si>
    <t>COMP/ELE - 12</t>
  </si>
  <si>
    <t>ELETRODUTO CORRUGADO FLEXÍVEL EM PEAD Ø = 1 1/4", TIPO KANALEX OU SIMILAR</t>
  </si>
  <si>
    <t xml:space="preserve">02965 - ORSE </t>
  </si>
  <si>
    <t>COMP/ELE - 13</t>
  </si>
  <si>
    <t>ELETRODUTO PVC FLEXIVEL CORRUGADO, REFORCADO, COR LARANJA, DE 25 MM, PARA LAJES E PISOS</t>
  </si>
  <si>
    <t xml:space="preserve">39244 - SINAPI </t>
  </si>
  <si>
    <t>COMP/ELE - 14</t>
  </si>
  <si>
    <t xml:space="preserve">39245 - SINAPI </t>
  </si>
  <si>
    <t>COMP/ELE - 15</t>
  </si>
  <si>
    <t xml:space="preserve">ELETRODUTO CORRUGADO FLEXÍVEL EM PEAD Ø = 2", TIPO KANALEX OU SIMILAR 
</t>
  </si>
  <si>
    <t xml:space="preserve">02962 - ORSE  </t>
  </si>
  <si>
    <t>COMP/ELE -16</t>
  </si>
  <si>
    <t xml:space="preserve">0392 - ORSE </t>
  </si>
  <si>
    <t>CABO DE AÇO 9,5 MM AWG</t>
  </si>
  <si>
    <t>COMP/ELE -17</t>
  </si>
  <si>
    <t>PÇ</t>
  </si>
  <si>
    <t>COMP/ELE -18</t>
  </si>
  <si>
    <t>ARANDELA TIPO SONOFLETOR DE TETO 6" AXIAL</t>
  </si>
  <si>
    <t>FIO BIO CRISTAL 2X075 CORDEIRO</t>
  </si>
  <si>
    <t>COMP/ELE -19</t>
  </si>
  <si>
    <t>CABO DE COBRE NU 25MM2 - FORNECIMENTO E INSTALACAO</t>
  </si>
  <si>
    <t>000868-SINAPI</t>
  </si>
  <si>
    <t>CABO DE COBRE NU 25 MM2 MEIO-DURO</t>
  </si>
  <si>
    <t xml:space="preserve">88316 - SINAPI </t>
  </si>
  <si>
    <t>COMP/ELE -20</t>
  </si>
  <si>
    <t>CABO DE COBRE NU 50MM2 - FORNECIMENTO E INSTALACAO</t>
  </si>
  <si>
    <t>000867-SINAPI</t>
  </si>
  <si>
    <t>CABO DE COBRE NU 50 MM2 MEIO-DURO</t>
  </si>
  <si>
    <t>COMP/ELE -21</t>
  </si>
  <si>
    <t>CAIXA DE PASSAGEM CPE 12X12X7,5CM DE EMBUTIR DE PVC ANTI-CHAMA - FORNECIMENTO E INSTALAÇÃO</t>
  </si>
  <si>
    <t>0039810-SINAPI</t>
  </si>
  <si>
    <t>CAIXA DE PASSAGEM DE PAREDE, DE EMBUTIR, EM PVC, DIMENSOES *120 X 120 X 75* MM</t>
  </si>
  <si>
    <t>COMP/ELE - 22</t>
  </si>
  <si>
    <t>LUMINARIA BALIZADOR PARA JARDIM 1 LAMPADA LED - FORNECIMENTO E INSTALAÇÃO</t>
  </si>
  <si>
    <t>LUMINARIA BALIZADOR PARA JARDIM 1 LAMPADA LED MOD. JD15-S1E27P</t>
  </si>
  <si>
    <t>LAMPADA LED 15W PARA BALIZADOR</t>
  </si>
  <si>
    <t>COMP/ELE - 23</t>
  </si>
  <si>
    <t>LUMINARIA LED 2 MODULOS  DECORATIVA COM SUPORTE EM AÇO GALVANIZADO - FORNECIMENTO E INSTALAÇÃO</t>
  </si>
  <si>
    <t>LUMINARIA LED 2 MODULOS 78W IP67 LEX01-S2M750</t>
  </si>
  <si>
    <t>SUPORTE DE FIXAÇÃO EM ALUMINIO</t>
  </si>
  <si>
    <t>COMP/ELE - 24</t>
  </si>
  <si>
    <t>PROJETOR LED 30W LINHA GUARAU MOD. CLH-LF30  - FORNECIMENTO E INSTALAÇÃO</t>
  </si>
  <si>
    <t>PROJETOR LED 30W MOD. CLH-LF30</t>
  </si>
  <si>
    <t>COMP/ELE - 25</t>
  </si>
  <si>
    <t>2524 - ORSE</t>
  </si>
  <si>
    <t>ISOLADOR DE PINO POLIMERICO 15KV</t>
  </si>
  <si>
    <t>COMP/ELE - 26</t>
  </si>
  <si>
    <t>TRANSFORMADOR 112,5KVA - BUCHA 25KV - 13800/380/220V, EM CHAPA DE AÇO GALVANIZADA, COM 5 TAPS EXTERNOS E VÁLVULA DE ALÍVIO DE PRESSÃO</t>
  </si>
  <si>
    <t>10823 - ORSE</t>
  </si>
  <si>
    <t>COMP/ELE - 27</t>
  </si>
  <si>
    <t>CONJUNTO 2 TOMADAS 10A PRETA DE PISO 4X4 – LATÃO – TPL019</t>
  </si>
  <si>
    <t>439 - ORSE</t>
  </si>
  <si>
    <t>CAIXA DE PASSAGEM EM ALUMÍNIO PARA PISO 4" X 4"</t>
  </si>
  <si>
    <t>Conjunto 2 Tomadas 10a Preta De Piso 4x4 – Latão – Tpl019</t>
  </si>
  <si>
    <t>MERC01/01</t>
  </si>
  <si>
    <t>DESCRIÇÃO</t>
  </si>
  <si>
    <t>PEÇAS DE ESQUADRIAS DE ALUMÍNIO ANODIZADO NA COR BRONZE DE TODO O FÓRUM</t>
  </si>
  <si>
    <t>PREÇO TOTAL</t>
  </si>
  <si>
    <t>COTAÇÃO 01</t>
  </si>
  <si>
    <t>BL BOX</t>
  </si>
  <si>
    <t>COTAÇÃO 02</t>
  </si>
  <si>
    <t>VIDRO-MAN</t>
  </si>
  <si>
    <t>COTAÇÃO 03</t>
  </si>
  <si>
    <t>VALOR</t>
  </si>
  <si>
    <t>MERC02/01</t>
  </si>
  <si>
    <t>PORCELANATO 60X60CM, LINHA E COR MINIMUM BEIGE RE</t>
  </si>
  <si>
    <t>preço/M²</t>
  </si>
  <si>
    <t>Eliane Revestimentos Cerâmicos Ltda - CNPJ: 86.532.538/0029-63</t>
  </si>
  <si>
    <t>MERC02/02</t>
  </si>
  <si>
    <t>REVESTIMENTO CERÂMICO 10X10CM DA MARCA ELIZABETH COMO REFERÊNCIA, LINHA CRISTAL, COR BRANCO, ACABAMENTO ACETINADO</t>
  </si>
  <si>
    <t>ELIZABETH REVESTIMENTOS LTDA. - CNPJ: 12.924.130/0001-08</t>
  </si>
  <si>
    <t>MERC02/03</t>
  </si>
  <si>
    <t>FORRO BRANCO FOSCO AE IR25 (0.620x1.245x25mm)</t>
  </si>
  <si>
    <t>ARTESANA DIVISORIAS E FORROS LTDA - CNPJ: 55.010.060/0001-87</t>
  </si>
  <si>
    <t>MERC02/04</t>
  </si>
  <si>
    <t>PRESTAÇÃO DE SERVIÇOS DE ENGENHARIA CIVIL DE PROTENSÃO</t>
  </si>
  <si>
    <t>preço/Und</t>
  </si>
  <si>
    <t>ESTEVAM LUIZ MARQUES LTDA - CNPJ: 35.512.309/0001-45</t>
  </si>
  <si>
    <t>MERC02/05</t>
  </si>
  <si>
    <t>TRISOFT TEXTIL LTDA - CNPJ: 55.895.544/0001-50</t>
  </si>
  <si>
    <t>MODULO CEGO 1M BR</t>
  </si>
  <si>
    <t>Leroy Merlin Companhia Brasileira de Bricolagem S/A - CNPJ: 01.438.784/0048-60</t>
  </si>
  <si>
    <t>MERC03/01</t>
  </si>
  <si>
    <t>PREÇO /UND.</t>
  </si>
  <si>
    <t>SINALIZARTE</t>
  </si>
  <si>
    <t>SULPLAC IMPRESSOES LTDA</t>
  </si>
  <si>
    <t>ZIP COMUNICAÇÃO VISUAL</t>
  </si>
  <si>
    <t>MEDIA</t>
  </si>
  <si>
    <t>MERC03/02</t>
  </si>
  <si>
    <t>PREÇO /UND</t>
  </si>
  <si>
    <t>LOGOMARCA HORIZONTAL 60CM (TRIBUNAL PLENO)</t>
  </si>
  <si>
    <t>MERC03/03</t>
  </si>
  <si>
    <t>MERC03/04</t>
  </si>
  <si>
    <t>LETREIRO COM ALTURA 15CM (FACHADA)</t>
  </si>
  <si>
    <t>MERC03/05</t>
  </si>
  <si>
    <t>PREÇO /M²</t>
  </si>
  <si>
    <t>MERC03/06</t>
  </si>
  <si>
    <t>MERC03/07</t>
  </si>
  <si>
    <t>PLACA DE INAUGURAÇÃO EM POLIESTIRENO ALTO IMPACTO</t>
  </si>
  <si>
    <t>MERC03/08</t>
  </si>
  <si>
    <t>MERC03/09</t>
  </si>
  <si>
    <t>MERC03/10</t>
  </si>
  <si>
    <t>PLACA DE PAREDE PARA ESTACIONAMENTO</t>
  </si>
  <si>
    <t>MAGAZINE LUIZA AS - CNPJ: 47.960.950/0001-21</t>
  </si>
  <si>
    <t>LOJAS AMERICANAS AS - CNPJ: 33.014.556/0001-96</t>
  </si>
  <si>
    <t>CASAS BAHIA - CNPJ: 07.170.938/0001-07</t>
  </si>
  <si>
    <t>MERC04/02</t>
  </si>
  <si>
    <t>SHOPTIME S A - CNPJ: 01.104.894/0001-22</t>
  </si>
  <si>
    <t>LEROY MERLIN COMPANHIA BRASILEIRA DE BRICOLAGEM - CNPJ: 01.438.784/0001-05</t>
  </si>
  <si>
    <t>MERC04/03</t>
  </si>
  <si>
    <t>SOM MELHOR - CNPJ: 13.374.860/0001-37</t>
  </si>
  <si>
    <t>MERC04/04</t>
  </si>
  <si>
    <t>NOBREAK/UPS POTENCIA 20KVA – TENSÃO DE ENTRADA 380V (CONFIGURAÇÃO TRIFASICO – ESTRELA) – TENSÃO DE SAÍDA 220V (CONFIGURAÇÃO TRIFASICO – ESTRELA) – DOTADO DE TRANSFORMADOR ISOLADOR) – AUTONOMIA 30 MIN (MEIA CARGA) E 15 MIN (PLENA CARGA)</t>
  </si>
  <si>
    <t>ELETROELETRÔNICA SERVICE LTDA - CNPJ: 35.553.353/0001-01</t>
  </si>
  <si>
    <t>MERC04/05</t>
  </si>
  <si>
    <t>AMPLIFICADOR HAYAMAX PRO 2000</t>
  </si>
  <si>
    <t>NATURAL SOUND (82) 98857-3955</t>
  </si>
  <si>
    <t>MERC04/06</t>
  </si>
  <si>
    <t>MERC04/07</t>
  </si>
  <si>
    <t>MERC04/08</t>
  </si>
  <si>
    <t>ATENUADOR SELETOR DE VOLUME HAYAMAX</t>
  </si>
  <si>
    <t>MERC04/09</t>
  </si>
  <si>
    <t>MERC04/10</t>
  </si>
  <si>
    <t>AMORIM COMERCIO E SERVIÇOS LTDA CNPJ: 047.358.21/0001-27</t>
  </si>
  <si>
    <t>MERC04/11</t>
  </si>
  <si>
    <t>MERC04/12</t>
  </si>
  <si>
    <t>PORTAL DETECTOR DE METAIS MOD. METTUS DX8S</t>
  </si>
  <si>
    <t>DETROX DETECTORES DE METAIS LTDA CNPJ: 07.404.500/0001-38</t>
  </si>
  <si>
    <t>MERC04/13</t>
  </si>
  <si>
    <t>AMERICANAS</t>
  </si>
  <si>
    <t>MERC04/14</t>
  </si>
  <si>
    <t>RACK FECHADO TIPO ARMÁRIO 19" x 42u x 670mm</t>
  </si>
  <si>
    <t>WWW.PRECESSTEC.COM.BR</t>
  </si>
  <si>
    <t>MERC04/15</t>
  </si>
  <si>
    <t>CÂMERA IP DOME 1220. FABRICANTE INTELBRAS OU SIMILAR</t>
  </si>
  <si>
    <t>SHOPTIME</t>
  </si>
  <si>
    <t>MERC04/16</t>
  </si>
  <si>
    <t>MERCADOLIVRE</t>
  </si>
  <si>
    <t>MERC04/17</t>
  </si>
  <si>
    <t>LOJA DO MECÂNICO</t>
  </si>
  <si>
    <t>PALÁCIO DAS BOMBAS</t>
  </si>
  <si>
    <t>MÉRITO COMERCIAL</t>
  </si>
  <si>
    <t>COMPOSIÇÃO 12</t>
  </si>
  <si>
    <t>COMP - 00/12</t>
  </si>
  <si>
    <t>FORNECIMENTO E INSTALAÇÃO DE TORNEIRA DE MESA COM FECHAMENTO AUTOMÁTICO, LINHA DECAMATIC ECO, REF.1173.C, DECA OU SIMILAR</t>
  </si>
  <si>
    <t>FITA VEDA ROSCA 18 MM</t>
  </si>
  <si>
    <t>REFERÊNCIA COMPOSIÇÃO</t>
  </si>
  <si>
    <t>Torneira de mesa com fechamento automático p/ lavatório Deca Eco 1173.C</t>
  </si>
  <si>
    <t>TORNEIRA DE MESA COM FECHAMENTO AUTOMÁTICO P/ LAVATÓRIO DECA ECO 1173.C</t>
  </si>
  <si>
    <t>CERTIFICAÇÃO DE REDE CABEAMENTO ESTRUTURADO (REF: OBRA SERGIPETEC)</t>
  </si>
  <si>
    <t>I-10322</t>
  </si>
  <si>
    <t>15.07.48</t>
  </si>
  <si>
    <t>Concreto Armado fck=30,0MPa, usinado, bombeado, adensado e lançado, para uso Geral, com formas planas em compensado resinado 12mm (05 usos)</t>
  </si>
  <si>
    <t>CONCRETO ARMADO FCK=30,0MPA, USINADO, BOMBEADO, ADENSADO E LANÇADO, PARA USO GERAL, COM FORMAS PLANAS EM COMPENSADO RESINADO 12MM (05 USOS)</t>
  </si>
  <si>
    <t>6.02.07</t>
  </si>
  <si>
    <t>PRATELEIRAS DO DEPÓSITO DE APREENSÕES</t>
  </si>
  <si>
    <t>APLICAÇÃO DE TELA FIX LARGURA 15CM, EM ENCONTROS DE ALVENARIAS COM VIGAS</t>
  </si>
  <si>
    <t>VIGOTA PRÉ-MOLDADA 0.10 X 0.20 M, FORNECIMENTO E INSTALAÇÃO - PERGOLADO</t>
  </si>
  <si>
    <t>PINTURA DE PROTEÇÃO SOBRE SUPERFÍCIES METÁLICAS COM APLICAÇÃO DE 01 DEMÃO DE TINTA ANTI-CORROSIVA ZARCÃO - R2</t>
  </si>
  <si>
    <t>JUNÇÃO DE PVC RÍGIDO ROSCÁVEL DIÂM = 1 - REV01</t>
  </si>
  <si>
    <t xml:space="preserve"> DUCHA MANUAL COM REGISTRO, LINHA ASPEN, REF. 1984 C35 ACT, DA DECA OU SIMILAR</t>
  </si>
  <si>
    <t>PLACA 20X35 EM CHAPA ESMALTADA PARA IDENTIFICAÇÃO DE LOGRADOUROS</t>
  </si>
  <si>
    <t>DISPENSER, EM PLÁSTICO, PARA PAPEL HIGIÊNICO EM ROLO</t>
  </si>
  <si>
    <t>PLANTA - SAMAMBAIA C/1,00M, FORNECIMENTO E PLANTIO</t>
  </si>
  <si>
    <t>%ACUMUL</t>
  </si>
  <si>
    <t>CLASSE</t>
  </si>
  <si>
    <t>B</t>
  </si>
</sst>
</file>

<file path=xl/styles.xml><?xml version="1.0" encoding="utf-8"?>
<styleSheet xmlns="http://schemas.openxmlformats.org/spreadsheetml/2006/main">
  <numFmts count="16">
    <numFmt numFmtId="43" formatCode="_-* #,##0.00_-;\-* #,##0.00_-;_-* &quot;-&quot;??_-;_-@_-"/>
    <numFmt numFmtId="164" formatCode="_(* #,##0.00_);_(* \(#,##0.00\);_(* \-??_);_(@_)"/>
    <numFmt numFmtId="165" formatCode="_-* #,##0.00_-;\-* #,##0.00_-;_-* \-??_-;_-@_-"/>
    <numFmt numFmtId="166" formatCode="[$R$-416]\ #,##0.00;[Red]\-[$R$-416]\ #,##0.00"/>
    <numFmt numFmtId="167" formatCode="_-&quot;R$ &quot;* #,##0.00_-;&quot;-R$ &quot;* #,##0.00_-;_-&quot;R$ &quot;* \-??_-;_-@_-"/>
    <numFmt numFmtId="168" formatCode="&quot;R$ &quot;#,##0.00"/>
    <numFmt numFmtId="169" formatCode="&quot; R$ &quot;#,##0.00\ ;&quot; R$ (&quot;#,##0.00\);&quot; R$ -&quot;#\ ;@\ "/>
    <numFmt numFmtId="170" formatCode="&quot; R$&quot;#,##0.00\ ;&quot; R$(&quot;#,##0.00\);&quot; R$-&quot;#\ ;@\ "/>
    <numFmt numFmtId="171" formatCode="dd/mm/yy"/>
    <numFmt numFmtId="172" formatCode="#,##0.0"/>
    <numFmt numFmtId="173" formatCode="0.000000%"/>
    <numFmt numFmtId="174" formatCode="mm/yy"/>
    <numFmt numFmtId="175" formatCode="0.0000000000%"/>
    <numFmt numFmtId="176" formatCode="#,##0.00_ ;[Red]\-#,##0.00\ "/>
    <numFmt numFmtId="177" formatCode="_-[$R$-416]\ * #,##0.00_-;\-[$R$-416]\ * #,##0.00_-;_-[$R$-416]\ * &quot;-&quot;??_-;_-@_-"/>
    <numFmt numFmtId="178" formatCode="_-* #,##0.000_-;\-* #,##0.000_-;_-* \-??_-;_-@_-"/>
  </numFmts>
  <fonts count="69">
    <font>
      <sz val="11"/>
      <color indexed="8"/>
      <name val="Calibri"/>
      <family val="2"/>
    </font>
    <font>
      <sz val="10"/>
      <name val="Arial"/>
      <family val="2"/>
    </font>
    <font>
      <b/>
      <sz val="11"/>
      <color indexed="8"/>
      <name val="Calibri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sz val="11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sz val="12"/>
      <color indexed="8"/>
      <name val="Calibri"/>
      <family val="2"/>
    </font>
    <font>
      <b/>
      <sz val="12"/>
      <color indexed="9"/>
      <name val="Arial"/>
      <family val="2"/>
    </font>
    <font>
      <b/>
      <i/>
      <sz val="12"/>
      <color indexed="8"/>
      <name val="Arial"/>
      <family val="2"/>
    </font>
    <font>
      <b/>
      <i/>
      <sz val="10"/>
      <color indexed="8"/>
      <name val="Arial"/>
      <family val="2"/>
    </font>
    <font>
      <b/>
      <i/>
      <sz val="11"/>
      <color indexed="8"/>
      <name val="Arial"/>
      <family val="2"/>
    </font>
    <font>
      <b/>
      <sz val="11"/>
      <name val="Arial"/>
      <family val="2"/>
    </font>
    <font>
      <sz val="11"/>
      <name val="Calibri"/>
      <family val="2"/>
    </font>
    <font>
      <b/>
      <u/>
      <sz val="11"/>
      <color indexed="8"/>
      <name val="Arial"/>
      <family val="2"/>
    </font>
    <font>
      <sz val="10"/>
      <color indexed="8"/>
      <name val="Times New Roman"/>
      <family val="1"/>
    </font>
    <font>
      <b/>
      <sz val="11"/>
      <name val="Calibri"/>
      <family val="2"/>
    </font>
    <font>
      <sz val="12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sz val="10"/>
      <color indexed="9"/>
      <name val="Arial"/>
      <family val="2"/>
    </font>
    <font>
      <sz val="10"/>
      <color indexed="60"/>
      <name val="Arial"/>
      <family val="2"/>
    </font>
    <font>
      <b/>
      <sz val="10"/>
      <color indexed="8"/>
      <name val="Arial"/>
      <family val="2"/>
    </font>
    <font>
      <sz val="10"/>
      <name val="Century Gothic"/>
      <family val="2"/>
    </font>
    <font>
      <sz val="9"/>
      <name val="Century Gothic"/>
      <family val="2"/>
    </font>
    <font>
      <b/>
      <sz val="14"/>
      <name val="Century Gothic"/>
      <family val="2"/>
    </font>
    <font>
      <b/>
      <sz val="12"/>
      <name val="Century Gothic"/>
      <family val="2"/>
    </font>
    <font>
      <b/>
      <sz val="9"/>
      <name val="Century Gothic"/>
      <family val="2"/>
    </font>
    <font>
      <b/>
      <sz val="14"/>
      <color indexed="12"/>
      <name val="Century Gothic"/>
      <family val="2"/>
    </font>
    <font>
      <sz val="12"/>
      <name val="Century Gothic"/>
      <family val="2"/>
    </font>
    <font>
      <b/>
      <sz val="9"/>
      <name val="Tahoma"/>
      <family val="2"/>
    </font>
    <font>
      <b/>
      <sz val="8"/>
      <name val="Tahoma"/>
      <family val="2"/>
    </font>
    <font>
      <b/>
      <sz val="10"/>
      <name val="Tahoma"/>
      <family val="2"/>
    </font>
    <font>
      <sz val="10"/>
      <name val="Tahoma"/>
      <family val="2"/>
    </font>
    <font>
      <sz val="9"/>
      <name val="Tahoma"/>
      <family val="2"/>
    </font>
    <font>
      <sz val="8.5"/>
      <name val="Century Gothic"/>
      <family val="2"/>
    </font>
    <font>
      <b/>
      <sz val="10"/>
      <name val="Century Gothic"/>
      <family val="2"/>
    </font>
    <font>
      <b/>
      <sz val="15"/>
      <color indexed="8"/>
      <name val="Arial"/>
      <family val="2"/>
    </font>
    <font>
      <u/>
      <sz val="11"/>
      <color indexed="30"/>
      <name val="Calibri"/>
      <family val="2"/>
    </font>
    <font>
      <sz val="11"/>
      <color indexed="8"/>
      <name val="Calibri"/>
      <family val="2"/>
    </font>
    <font>
      <b/>
      <sz val="12"/>
      <name val="Arial"/>
      <family val="2"/>
    </font>
    <font>
      <sz val="8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Calibri2"/>
      <charset val="1"/>
    </font>
    <font>
      <sz val="8"/>
      <color rgb="FF000000"/>
      <name val="Verdana"/>
      <charset val="1"/>
    </font>
    <font>
      <sz val="11"/>
      <color indexed="8"/>
      <name val="Arial"/>
    </font>
    <font>
      <b/>
      <sz val="10"/>
      <name val="Arial"/>
    </font>
    <font>
      <sz val="10"/>
      <name val="Arial"/>
    </font>
    <font>
      <sz val="10"/>
      <color indexed="9"/>
      <name val="Arial"/>
    </font>
    <font>
      <sz val="10"/>
      <color indexed="8"/>
      <name val="Arial"/>
    </font>
    <font>
      <b/>
      <sz val="11"/>
      <color indexed="8"/>
      <name val="Arial"/>
    </font>
    <font>
      <sz val="11"/>
      <color rgb="FF000000"/>
      <name val="Arial"/>
    </font>
    <font>
      <b/>
      <sz val="11"/>
      <color rgb="FF000000"/>
      <name val="Arial"/>
    </font>
    <font>
      <sz val="11"/>
      <color rgb="FF444444"/>
      <name val="Calibri"/>
      <family val="2"/>
      <charset val="1"/>
    </font>
    <font>
      <sz val="10"/>
      <color rgb="FF000000"/>
      <name val="Arial"/>
      <family val="2"/>
    </font>
    <font>
      <b/>
      <u/>
      <sz val="11"/>
      <color rgb="FF000000"/>
      <name val="Arial"/>
    </font>
    <font>
      <sz val="11"/>
      <name val="Arial"/>
    </font>
    <font>
      <sz val="11"/>
      <color rgb="FF000000"/>
      <name val="Arial"/>
      <family val="2"/>
    </font>
    <font>
      <sz val="10"/>
      <color indexed="8"/>
      <name val="Times New Roman"/>
      <charset val="1"/>
    </font>
    <font>
      <u/>
      <sz val="11"/>
      <color theme="10"/>
      <name val="Calibri"/>
      <family val="2"/>
    </font>
    <font>
      <sz val="11"/>
      <color rgb="FF444444"/>
      <name val="Consolas"/>
      <charset val="1"/>
    </font>
    <font>
      <sz val="10"/>
      <color theme="0"/>
      <name val="Arial"/>
      <family val="2"/>
    </font>
    <font>
      <sz val="10"/>
      <color theme="0"/>
      <name val="Arial"/>
    </font>
    <font>
      <sz val="11"/>
      <color rgb="FF000000"/>
      <name val="Arial"/>
      <charset val="1"/>
    </font>
    <font>
      <sz val="10"/>
      <color rgb="FFFFFF00"/>
      <name val="Tahoma"/>
      <family val="2"/>
    </font>
    <font>
      <b/>
      <sz val="11"/>
      <name val="Arial"/>
    </font>
    <font>
      <b/>
      <sz val="12"/>
      <color rgb="FF404040"/>
      <name val="Arial"/>
      <family val="2"/>
    </font>
    <font>
      <sz val="8"/>
      <color rgb="FF000000"/>
      <name val="Verdana"/>
      <family val="2"/>
    </font>
  </fonts>
  <fills count="24">
    <fill>
      <patternFill patternType="none"/>
    </fill>
    <fill>
      <patternFill patternType="gray125"/>
    </fill>
    <fill>
      <patternFill patternType="solid">
        <fgColor indexed="11"/>
        <bgColor indexed="49"/>
      </patternFill>
    </fill>
    <fill>
      <patternFill patternType="solid">
        <fgColor indexed="55"/>
        <bgColor indexed="23"/>
      </patternFill>
    </fill>
    <fill>
      <patternFill patternType="solid">
        <fgColor indexed="22"/>
        <bgColor indexed="31"/>
      </patternFill>
    </fill>
    <fill>
      <patternFill patternType="solid">
        <fgColor indexed="9"/>
        <bgColor indexed="26"/>
      </patternFill>
    </fill>
    <fill>
      <patternFill patternType="solid">
        <fgColor indexed="50"/>
        <bgColor indexed="51"/>
      </patternFill>
    </fill>
    <fill>
      <patternFill patternType="solid">
        <fgColor indexed="13"/>
        <bgColor indexed="34"/>
      </patternFill>
    </fill>
    <fill>
      <patternFill patternType="solid">
        <fgColor indexed="47"/>
        <bgColor indexed="22"/>
      </patternFill>
    </fill>
    <fill>
      <patternFill patternType="solid">
        <fgColor indexed="51"/>
        <bgColor indexed="13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39997558519241921"/>
        <bgColor indexed="26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59999389629810485"/>
        <bgColor indexed="26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59999389629810485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indexed="26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72">
    <border>
      <left/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/>
      <right/>
      <top style="thin">
        <color rgb="FFCCCCCC"/>
      </top>
      <bottom style="thin">
        <color rgb="FF000000"/>
      </bottom>
      <diagonal/>
    </border>
    <border>
      <left/>
      <right style="thin">
        <color rgb="FF000000"/>
      </right>
      <top style="thin">
        <color rgb="FFCCCCCC"/>
      </top>
      <bottom style="thin">
        <color rgb="FF000000"/>
      </bottom>
      <diagonal/>
    </border>
    <border>
      <left style="thin">
        <color rgb="FF000000"/>
      </left>
      <right/>
      <top style="thin">
        <color rgb="FFCCCCCC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 style="thin">
        <color indexed="8"/>
      </right>
      <top style="thin">
        <color indexed="8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indexed="8"/>
      </top>
      <bottom style="thin">
        <color rgb="FF000000"/>
      </bottom>
      <diagonal/>
    </border>
    <border>
      <left/>
      <right style="thin">
        <color indexed="64"/>
      </right>
      <top style="medium">
        <color indexed="8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8"/>
      </bottom>
      <diagonal/>
    </border>
  </borders>
  <cellStyleXfs count="13">
    <xf numFmtId="0" fontId="0" fillId="0" borderId="0"/>
    <xf numFmtId="0" fontId="40" fillId="2" borderId="0"/>
    <xf numFmtId="0" fontId="40" fillId="2" borderId="0"/>
    <xf numFmtId="169" fontId="40" fillId="0" borderId="0"/>
    <xf numFmtId="170" fontId="16" fillId="0" borderId="0"/>
    <xf numFmtId="0" fontId="40" fillId="0" borderId="0"/>
    <xf numFmtId="0" fontId="40" fillId="0" borderId="0"/>
    <xf numFmtId="9" fontId="1" fillId="0" borderId="0" applyFill="0" applyBorder="0" applyAlignment="0" applyProtection="0"/>
    <xf numFmtId="164" fontId="40" fillId="0" borderId="0" applyFill="0" applyBorder="0" applyAlignment="0" applyProtection="0"/>
    <xf numFmtId="164" fontId="40" fillId="0" borderId="0" applyFill="0" applyBorder="0" applyAlignment="0" applyProtection="0"/>
    <xf numFmtId="0" fontId="43" fillId="0" borderId="0"/>
    <xf numFmtId="0" fontId="60" fillId="0" borderId="0" applyNumberFormat="0" applyFill="0" applyBorder="0" applyAlignment="0" applyProtection="0"/>
    <xf numFmtId="9" fontId="40" fillId="0" borderId="0" applyFont="0" applyFill="0" applyBorder="0" applyAlignment="0" applyProtection="0"/>
  </cellStyleXfs>
  <cellXfs count="1328">
    <xf numFmtId="0" fontId="0" fillId="0" borderId="0" xfId="0"/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165" fontId="0" fillId="0" borderId="0" xfId="0" applyNumberFormat="1" applyAlignment="1">
      <alignment vertical="center"/>
    </xf>
    <xf numFmtId="4" fontId="0" fillId="0" borderId="0" xfId="0" applyNumberForma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65" fontId="5" fillId="0" borderId="0" xfId="0" applyNumberFormat="1" applyFont="1" applyAlignment="1">
      <alignment horizontal="center" vertical="center" wrapText="1"/>
    </xf>
    <xf numFmtId="4" fontId="4" fillId="0" borderId="0" xfId="0" applyNumberFormat="1" applyFont="1" applyAlignment="1">
      <alignment horizontal="center" vertical="center" wrapText="1"/>
    </xf>
    <xf numFmtId="165" fontId="4" fillId="0" borderId="0" xfId="0" applyNumberFormat="1" applyFont="1" applyAlignment="1">
      <alignment vertical="center"/>
    </xf>
    <xf numFmtId="165" fontId="7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165" fontId="10" fillId="0" borderId="0" xfId="0" applyNumberFormat="1" applyFont="1" applyAlignment="1">
      <alignment horizontal="center" vertical="center" wrapText="1"/>
    </xf>
    <xf numFmtId="166" fontId="11" fillId="0" borderId="0" xfId="0" applyNumberFormat="1" applyFont="1" applyAlignment="1">
      <alignment vertical="center" wrapText="1"/>
    </xf>
    <xf numFmtId="166" fontId="10" fillId="0" borderId="0" xfId="0" applyNumberFormat="1" applyFont="1" applyAlignment="1">
      <alignment vertical="center" wrapText="1"/>
    </xf>
    <xf numFmtId="165" fontId="4" fillId="0" borderId="0" xfId="0" applyNumberFormat="1" applyFont="1" applyAlignment="1">
      <alignment horizontal="center" vertical="center" wrapText="1"/>
    </xf>
    <xf numFmtId="166" fontId="12" fillId="0" borderId="0" xfId="0" applyNumberFormat="1" applyFont="1" applyAlignment="1">
      <alignment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165" fontId="5" fillId="4" borderId="1" xfId="0" applyNumberFormat="1" applyFont="1" applyFill="1" applyBorder="1" applyAlignment="1">
      <alignment horizontal="center" vertical="center" wrapText="1"/>
    </xf>
    <xf numFmtId="2" fontId="4" fillId="4" borderId="1" xfId="0" applyNumberFormat="1" applyFont="1" applyFill="1" applyBorder="1" applyAlignment="1">
      <alignment horizontal="center" vertical="center" wrapText="1"/>
    </xf>
    <xf numFmtId="10" fontId="3" fillId="4" borderId="2" xfId="0" applyNumberFormat="1" applyFont="1" applyFill="1" applyBorder="1" applyAlignment="1">
      <alignment vertical="center"/>
    </xf>
    <xf numFmtId="165" fontId="13" fillId="4" borderId="1" xfId="0" applyNumberFormat="1" applyFont="1" applyFill="1" applyBorder="1" applyAlignment="1">
      <alignment horizontal="center" vertical="center" wrapText="1"/>
    </xf>
    <xf numFmtId="168" fontId="3" fillId="4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165" fontId="13" fillId="5" borderId="1" xfId="0" applyNumberFormat="1" applyFont="1" applyFill="1" applyBorder="1" applyAlignment="1">
      <alignment horizontal="center" vertical="center" wrapText="1"/>
    </xf>
    <xf numFmtId="168" fontId="3" fillId="5" borderId="1" xfId="0" applyNumberFormat="1" applyFont="1" applyFill="1" applyBorder="1" applyAlignment="1">
      <alignment horizontal="center" vertical="center" wrapText="1"/>
    </xf>
    <xf numFmtId="10" fontId="3" fillId="0" borderId="2" xfId="0" applyNumberFormat="1" applyFont="1" applyBorder="1" applyAlignment="1">
      <alignment vertical="center"/>
    </xf>
    <xf numFmtId="0" fontId="4" fillId="0" borderId="3" xfId="0" applyFont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165" fontId="4" fillId="5" borderId="4" xfId="0" applyNumberFormat="1" applyFont="1" applyFill="1" applyBorder="1" applyAlignment="1">
      <alignment horizontal="right" vertical="center" wrapText="1"/>
    </xf>
    <xf numFmtId="168" fontId="3" fillId="5" borderId="1" xfId="0" applyNumberFormat="1" applyFont="1" applyFill="1" applyBorder="1" applyAlignment="1">
      <alignment horizontal="right" vertical="center" wrapText="1"/>
    </xf>
    <xf numFmtId="165" fontId="4" fillId="5" borderId="3" xfId="0" applyNumberFormat="1" applyFont="1" applyFill="1" applyBorder="1" applyAlignment="1">
      <alignment horizontal="center" vertical="center" wrapText="1"/>
    </xf>
    <xf numFmtId="165" fontId="3" fillId="0" borderId="3" xfId="0" applyNumberFormat="1" applyFont="1" applyBorder="1" applyAlignment="1">
      <alignment vertical="center"/>
    </xf>
    <xf numFmtId="168" fontId="4" fillId="4" borderId="1" xfId="0" applyNumberFormat="1" applyFont="1" applyFill="1" applyBorder="1" applyAlignment="1">
      <alignment horizontal="center" vertical="center" wrapText="1"/>
    </xf>
    <xf numFmtId="168" fontId="5" fillId="4" borderId="1" xfId="0" applyNumberFormat="1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10" fontId="13" fillId="4" borderId="2" xfId="0" applyNumberFormat="1" applyFont="1" applyFill="1" applyBorder="1" applyAlignment="1">
      <alignment vertical="center"/>
    </xf>
    <xf numFmtId="0" fontId="14" fillId="0" borderId="0" xfId="0" applyFont="1" applyAlignment="1">
      <alignment vertical="center"/>
    </xf>
    <xf numFmtId="165" fontId="5" fillId="5" borderId="1" xfId="0" applyNumberFormat="1" applyFont="1" applyFill="1" applyBorder="1" applyAlignment="1">
      <alignment horizontal="center" vertical="center" wrapText="1"/>
    </xf>
    <xf numFmtId="168" fontId="4" fillId="5" borderId="1" xfId="0" applyNumberFormat="1" applyFont="1" applyFill="1" applyBorder="1" applyAlignment="1">
      <alignment horizontal="center" vertical="center" wrapText="1"/>
    </xf>
    <xf numFmtId="0" fontId="0" fillId="5" borderId="0" xfId="0" applyFill="1" applyAlignment="1">
      <alignment vertical="center"/>
    </xf>
    <xf numFmtId="168" fontId="5" fillId="5" borderId="1" xfId="0" applyNumberFormat="1" applyFont="1" applyFill="1" applyBorder="1" applyAlignment="1">
      <alignment horizontal="center" vertical="center" wrapText="1"/>
    </xf>
    <xf numFmtId="10" fontId="13" fillId="0" borderId="2" xfId="0" applyNumberFormat="1" applyFont="1" applyBorder="1" applyAlignment="1">
      <alignment vertical="center"/>
    </xf>
    <xf numFmtId="165" fontId="3" fillId="4" borderId="1" xfId="0" applyNumberFormat="1" applyFont="1" applyFill="1" applyBorder="1" applyAlignment="1">
      <alignment horizontal="center" vertical="center" wrapText="1"/>
    </xf>
    <xf numFmtId="165" fontId="17" fillId="4" borderId="1" xfId="0" applyNumberFormat="1" applyFont="1" applyFill="1" applyBorder="1" applyAlignment="1">
      <alignment horizontal="center" vertical="center" wrapText="1"/>
    </xf>
    <xf numFmtId="2" fontId="2" fillId="4" borderId="1" xfId="0" applyNumberFormat="1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vertical="center" wrapText="1"/>
    </xf>
    <xf numFmtId="168" fontId="13" fillId="4" borderId="1" xfId="0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vertical="center"/>
    </xf>
    <xf numFmtId="2" fontId="3" fillId="5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6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168" fontId="6" fillId="3" borderId="1" xfId="0" applyNumberFormat="1" applyFont="1" applyFill="1" applyBorder="1" applyAlignment="1">
      <alignment horizontal="center" vertical="center" wrapText="1"/>
    </xf>
    <xf numFmtId="10" fontId="6" fillId="3" borderId="2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165" fontId="18" fillId="0" borderId="7" xfId="0" applyNumberFormat="1" applyFont="1" applyBorder="1" applyAlignment="1">
      <alignment horizontal="center" vertical="center" wrapText="1"/>
    </xf>
    <xf numFmtId="4" fontId="6" fillId="0" borderId="7" xfId="0" applyNumberFormat="1" applyFont="1" applyBorder="1" applyAlignment="1">
      <alignment horizontal="center" vertical="center"/>
    </xf>
    <xf numFmtId="0" fontId="6" fillId="0" borderId="8" xfId="0" applyFont="1" applyBorder="1" applyAlignment="1">
      <alignment vertical="center"/>
    </xf>
    <xf numFmtId="0" fontId="6" fillId="0" borderId="9" xfId="0" applyFont="1" applyBorder="1" applyAlignment="1">
      <alignment horizontal="center" vertical="center" wrapText="1"/>
    </xf>
    <xf numFmtId="165" fontId="18" fillId="0" borderId="0" xfId="0" applyNumberFormat="1" applyFont="1" applyAlignment="1">
      <alignment horizontal="center" vertical="center" wrapText="1"/>
    </xf>
    <xf numFmtId="4" fontId="6" fillId="0" borderId="0" xfId="0" applyNumberFormat="1" applyFont="1" applyAlignment="1">
      <alignment horizontal="center" vertical="center" wrapText="1"/>
    </xf>
    <xf numFmtId="0" fontId="6" fillId="0" borderId="10" xfId="0" applyFont="1" applyBorder="1" applyAlignment="1">
      <alignment vertical="center"/>
    </xf>
    <xf numFmtId="0" fontId="6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165" fontId="18" fillId="0" borderId="12" xfId="0" applyNumberFormat="1" applyFont="1" applyBorder="1" applyAlignment="1">
      <alignment horizontal="center" vertical="center" wrapText="1"/>
    </xf>
    <xf numFmtId="4" fontId="6" fillId="0" borderId="12" xfId="0" applyNumberFormat="1" applyFont="1" applyBorder="1" applyAlignment="1">
      <alignment horizontal="center" vertical="center" wrapText="1"/>
    </xf>
    <xf numFmtId="0" fontId="6" fillId="0" borderId="13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6" applyFont="1" applyAlignment="1">
      <alignment vertical="center"/>
    </xf>
    <xf numFmtId="0" fontId="4" fillId="0" borderId="0" xfId="6" applyFont="1" applyAlignment="1">
      <alignment vertical="center"/>
    </xf>
    <xf numFmtId="165" fontId="4" fillId="0" borderId="0" xfId="6" applyNumberFormat="1" applyFont="1" applyAlignment="1">
      <alignment vertical="center"/>
    </xf>
    <xf numFmtId="4" fontId="4" fillId="0" borderId="0" xfId="6" applyNumberFormat="1" applyFont="1" applyAlignment="1">
      <alignment vertical="center"/>
    </xf>
    <xf numFmtId="49" fontId="3" fillId="4" borderId="1" xfId="0" applyNumberFormat="1" applyFont="1" applyFill="1" applyBorder="1" applyAlignment="1">
      <alignment horizontal="left" vertical="center" wrapText="1"/>
    </xf>
    <xf numFmtId="10" fontId="3" fillId="4" borderId="2" xfId="0" applyNumberFormat="1" applyFont="1" applyFill="1" applyBorder="1" applyAlignment="1">
      <alignment vertical="center" wrapText="1"/>
    </xf>
    <xf numFmtId="0" fontId="4" fillId="5" borderId="0" xfId="6" applyFont="1" applyFill="1" applyAlignment="1">
      <alignment horizontal="left" vertical="center" wrapText="1"/>
    </xf>
    <xf numFmtId="0" fontId="13" fillId="5" borderId="1" xfId="6" applyFont="1" applyFill="1" applyBorder="1" applyAlignment="1">
      <alignment horizontal="center" vertical="center" wrapText="1"/>
    </xf>
    <xf numFmtId="0" fontId="13" fillId="5" borderId="1" xfId="6" applyFont="1" applyFill="1" applyBorder="1" applyAlignment="1">
      <alignment vertical="center" wrapText="1"/>
    </xf>
    <xf numFmtId="165" fontId="13" fillId="5" borderId="1" xfId="6" applyNumberFormat="1" applyFont="1" applyFill="1" applyBorder="1" applyAlignment="1">
      <alignment horizontal="center" vertical="center" wrapText="1"/>
    </xf>
    <xf numFmtId="10" fontId="3" fillId="0" borderId="2" xfId="0" applyNumberFormat="1" applyFont="1" applyBorder="1" applyAlignment="1">
      <alignment vertical="center" wrapText="1"/>
    </xf>
    <xf numFmtId="0" fontId="4" fillId="4" borderId="1" xfId="6" applyFont="1" applyFill="1" applyBorder="1" applyAlignment="1">
      <alignment horizontal="center" vertical="center" wrapText="1"/>
    </xf>
    <xf numFmtId="165" fontId="5" fillId="4" borderId="1" xfId="0" applyNumberFormat="1" applyFont="1" applyFill="1" applyBorder="1" applyAlignment="1">
      <alignment vertical="center" wrapText="1"/>
    </xf>
    <xf numFmtId="2" fontId="5" fillId="4" borderId="1" xfId="0" applyNumberFormat="1" applyFont="1" applyFill="1" applyBorder="1" applyAlignment="1">
      <alignment vertical="center" wrapText="1"/>
    </xf>
    <xf numFmtId="0" fontId="3" fillId="0" borderId="1" xfId="6" applyFont="1" applyBorder="1" applyAlignment="1">
      <alignment horizontal="center" vertical="center"/>
    </xf>
    <xf numFmtId="0" fontId="3" fillId="5" borderId="0" xfId="6" applyFont="1" applyFill="1" applyAlignment="1">
      <alignment horizontal="center" vertical="center"/>
    </xf>
    <xf numFmtId="0" fontId="4" fillId="5" borderId="0" xfId="6" applyFont="1" applyFill="1" applyAlignment="1">
      <alignment horizontal="center" vertical="center"/>
    </xf>
    <xf numFmtId="0" fontId="4" fillId="5" borderId="0" xfId="6" applyFont="1" applyFill="1" applyAlignment="1">
      <alignment horizontal="center" vertical="center" wrapText="1"/>
    </xf>
    <xf numFmtId="165" fontId="4" fillId="5" borderId="0" xfId="6" applyNumberFormat="1" applyFont="1" applyFill="1" applyAlignment="1">
      <alignment horizontal="center" vertical="center"/>
    </xf>
    <xf numFmtId="2" fontId="4" fillId="5" borderId="0" xfId="6" applyNumberFormat="1" applyFont="1" applyFill="1" applyAlignment="1">
      <alignment horizontal="center" vertical="center"/>
    </xf>
    <xf numFmtId="4" fontId="4" fillId="5" borderId="0" xfId="6" applyNumberFormat="1" applyFont="1" applyFill="1" applyAlignment="1">
      <alignment horizontal="center" vertical="center"/>
    </xf>
    <xf numFmtId="0" fontId="6" fillId="0" borderId="14" xfId="0" applyFont="1" applyBorder="1" applyAlignment="1">
      <alignment horizontal="center" vertical="center" wrapText="1"/>
    </xf>
    <xf numFmtId="168" fontId="6" fillId="0" borderId="14" xfId="0" applyNumberFormat="1" applyFont="1" applyBorder="1" applyAlignment="1">
      <alignment horizontal="center" vertical="center" wrapText="1"/>
    </xf>
    <xf numFmtId="0" fontId="6" fillId="0" borderId="0" xfId="6" applyFont="1" applyAlignment="1">
      <alignment horizontal="center" vertical="center"/>
    </xf>
    <xf numFmtId="0" fontId="6" fillId="0" borderId="0" xfId="6" applyFont="1" applyAlignment="1">
      <alignment vertical="center"/>
    </xf>
    <xf numFmtId="4" fontId="4" fillId="0" borderId="0" xfId="0" applyNumberFormat="1" applyFont="1" applyAlignment="1">
      <alignment vertical="center"/>
    </xf>
    <xf numFmtId="0" fontId="19" fillId="0" borderId="0" xfId="0" applyFont="1"/>
    <xf numFmtId="0" fontId="20" fillId="4" borderId="2" xfId="5" applyFont="1" applyFill="1" applyBorder="1" applyAlignment="1">
      <alignment horizontal="center" vertical="center" wrapText="1"/>
    </xf>
    <xf numFmtId="2" fontId="20" fillId="4" borderId="2" xfId="5" applyNumberFormat="1" applyFont="1" applyFill="1" applyBorder="1" applyAlignment="1">
      <alignment horizontal="center" vertical="center" wrapText="1"/>
    </xf>
    <xf numFmtId="4" fontId="20" fillId="4" borderId="2" xfId="5" applyNumberFormat="1" applyFont="1" applyFill="1" applyBorder="1" applyAlignment="1">
      <alignment horizontal="center" vertical="center" wrapText="1"/>
    </xf>
    <xf numFmtId="0" fontId="19" fillId="0" borderId="0" xfId="0" applyFont="1" applyAlignment="1">
      <alignment vertical="center"/>
    </xf>
    <xf numFmtId="0" fontId="20" fillId="0" borderId="1" xfId="5" applyFont="1" applyBorder="1" applyAlignment="1">
      <alignment horizontal="center" vertical="center"/>
    </xf>
    <xf numFmtId="0" fontId="20" fillId="0" borderId="2" xfId="5" applyFont="1" applyBorder="1" applyAlignment="1">
      <alignment horizontal="center" vertical="center"/>
    </xf>
    <xf numFmtId="0" fontId="20" fillId="0" borderId="1" xfId="5" applyFont="1" applyBorder="1" applyAlignment="1">
      <alignment horizontal="left" vertical="center" wrapText="1"/>
    </xf>
    <xf numFmtId="0" fontId="1" fillId="5" borderId="1" xfId="5" applyFont="1" applyFill="1" applyBorder="1" applyAlignment="1">
      <alignment horizontal="left" vertical="center"/>
    </xf>
    <xf numFmtId="0" fontId="1" fillId="5" borderId="2" xfId="5" applyFont="1" applyFill="1" applyBorder="1" applyAlignment="1">
      <alignment horizontal="left" vertical="center"/>
    </xf>
    <xf numFmtId="4" fontId="20" fillId="8" borderId="2" xfId="5" applyNumberFormat="1" applyFont="1" applyFill="1" applyBorder="1" applyAlignment="1">
      <alignment horizontal="center" vertical="center" wrapText="1"/>
    </xf>
    <xf numFmtId="4" fontId="20" fillId="8" borderId="2" xfId="0" applyNumberFormat="1" applyFont="1" applyFill="1" applyBorder="1" applyAlignment="1">
      <alignment horizontal="center" vertical="center"/>
    </xf>
    <xf numFmtId="4" fontId="1" fillId="5" borderId="2" xfId="5" applyNumberFormat="1" applyFont="1" applyFill="1" applyBorder="1" applyAlignment="1">
      <alignment horizontal="center" vertical="center" wrapText="1"/>
    </xf>
    <xf numFmtId="4" fontId="1" fillId="5" borderId="2" xfId="6" applyNumberFormat="1" applyFont="1" applyFill="1" applyBorder="1" applyAlignment="1">
      <alignment horizontal="center" vertical="center"/>
    </xf>
    <xf numFmtId="4" fontId="1" fillId="5" borderId="2" xfId="0" applyNumberFormat="1" applyFont="1" applyFill="1" applyBorder="1" applyAlignment="1">
      <alignment horizontal="center" vertical="center"/>
    </xf>
    <xf numFmtId="0" fontId="19" fillId="7" borderId="0" xfId="0" applyFont="1" applyFill="1" applyAlignment="1">
      <alignment vertical="center"/>
    </xf>
    <xf numFmtId="2" fontId="1" fillId="5" borderId="2" xfId="5" applyNumberFormat="1" applyFont="1" applyFill="1" applyBorder="1" applyAlignment="1">
      <alignment horizontal="center" vertical="center" wrapText="1"/>
    </xf>
    <xf numFmtId="0" fontId="19" fillId="7" borderId="0" xfId="0" applyFont="1" applyFill="1"/>
    <xf numFmtId="4" fontId="1" fillId="0" borderId="2" xfId="5" applyNumberFormat="1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/>
    </xf>
    <xf numFmtId="0" fontId="1" fillId="5" borderId="1" xfId="5" applyFont="1" applyFill="1" applyBorder="1" applyAlignment="1">
      <alignment horizontal="left" vertical="center" wrapText="1"/>
    </xf>
    <xf numFmtId="0" fontId="1" fillId="5" borderId="2" xfId="5" applyFont="1" applyFill="1" applyBorder="1" applyAlignment="1">
      <alignment horizontal="left" vertical="center" wrapText="1"/>
    </xf>
    <xf numFmtId="0" fontId="19" fillId="5" borderId="0" xfId="0" applyFont="1" applyFill="1" applyAlignment="1">
      <alignment vertical="center"/>
    </xf>
    <xf numFmtId="4" fontId="1" fillId="5" borderId="2" xfId="5" applyNumberFormat="1" applyFont="1" applyFill="1" applyBorder="1" applyAlignment="1">
      <alignment horizontal="center" vertical="center"/>
    </xf>
    <xf numFmtId="0" fontId="19" fillId="5" borderId="0" xfId="0" applyFont="1" applyFill="1"/>
    <xf numFmtId="4" fontId="20" fillId="5" borderId="2" xfId="0" applyNumberFormat="1" applyFont="1" applyFill="1" applyBorder="1" applyAlignment="1">
      <alignment horizontal="center" vertical="center"/>
    </xf>
    <xf numFmtId="0" fontId="20" fillId="5" borderId="2" xfId="5" applyFont="1" applyFill="1" applyBorder="1" applyAlignment="1">
      <alignment horizontal="center" vertical="center"/>
    </xf>
    <xf numFmtId="4" fontId="20" fillId="0" borderId="2" xfId="0" applyNumberFormat="1" applyFont="1" applyBorder="1" applyAlignment="1">
      <alignment horizontal="center" vertical="center"/>
    </xf>
    <xf numFmtId="0" fontId="20" fillId="5" borderId="2" xfId="5" applyFont="1" applyFill="1" applyBorder="1" applyAlignment="1">
      <alignment horizontal="center" vertical="center" wrapText="1"/>
    </xf>
    <xf numFmtId="4" fontId="20" fillId="0" borderId="2" xfId="5" applyNumberFormat="1" applyFont="1" applyBorder="1" applyAlignment="1">
      <alignment horizontal="center" vertical="center" wrapText="1"/>
    </xf>
    <xf numFmtId="0" fontId="1" fillId="5" borderId="0" xfId="0" applyFont="1" applyFill="1"/>
    <xf numFmtId="0" fontId="14" fillId="5" borderId="0" xfId="0" applyFont="1" applyFill="1"/>
    <xf numFmtId="0" fontId="1" fillId="7" borderId="0" xfId="0" applyFont="1" applyFill="1" applyAlignment="1">
      <alignment vertical="center"/>
    </xf>
    <xf numFmtId="0" fontId="1" fillId="0" borderId="0" xfId="0" applyFont="1"/>
    <xf numFmtId="0" fontId="0" fillId="5" borderId="0" xfId="0" applyFill="1"/>
    <xf numFmtId="4" fontId="20" fillId="5" borderId="2" xfId="5" applyNumberFormat="1" applyFont="1" applyFill="1" applyBorder="1" applyAlignment="1">
      <alignment horizontal="center" vertical="center" wrapText="1"/>
    </xf>
    <xf numFmtId="0" fontId="1" fillId="0" borderId="1" xfId="5" applyFont="1" applyBorder="1" applyAlignment="1">
      <alignment horizontal="left" vertical="center" wrapText="1"/>
    </xf>
    <xf numFmtId="0" fontId="1" fillId="0" borderId="2" xfId="5" applyFont="1" applyBorder="1" applyAlignment="1">
      <alignment horizontal="left" vertical="center" wrapText="1"/>
    </xf>
    <xf numFmtId="0" fontId="1" fillId="7" borderId="0" xfId="0" applyFont="1" applyFill="1"/>
    <xf numFmtId="0" fontId="1" fillId="5" borderId="0" xfId="0" applyFont="1" applyFill="1" applyAlignment="1">
      <alignment vertical="center"/>
    </xf>
    <xf numFmtId="49" fontId="1" fillId="5" borderId="1" xfId="5" applyNumberFormat="1" applyFont="1" applyFill="1" applyBorder="1" applyAlignment="1">
      <alignment horizontal="left" vertical="center" wrapText="1"/>
    </xf>
    <xf numFmtId="49" fontId="1" fillId="5" borderId="2" xfId="5" applyNumberFormat="1" applyFont="1" applyFill="1" applyBorder="1" applyAlignment="1">
      <alignment horizontal="left" vertical="center" wrapText="1"/>
    </xf>
    <xf numFmtId="0" fontId="20" fillId="8" borderId="2" xfId="5" applyFont="1" applyFill="1" applyBorder="1" applyAlignment="1">
      <alignment horizontal="center" vertical="center" wrapText="1"/>
    </xf>
    <xf numFmtId="0" fontId="20" fillId="8" borderId="2" xfId="0" applyFont="1" applyFill="1" applyBorder="1" applyAlignment="1">
      <alignment horizontal="center" vertical="center"/>
    </xf>
    <xf numFmtId="4" fontId="1" fillId="0" borderId="2" xfId="5" applyNumberFormat="1" applyFont="1" applyBorder="1" applyAlignment="1">
      <alignment horizontal="center" vertical="center"/>
    </xf>
    <xf numFmtId="0" fontId="1" fillId="0" borderId="1" xfId="5" applyFont="1" applyBorder="1" applyAlignment="1">
      <alignment horizontal="left" vertical="center"/>
    </xf>
    <xf numFmtId="0" fontId="1" fillId="0" borderId="2" xfId="5" applyFont="1" applyBorder="1" applyAlignment="1">
      <alignment horizontal="left" vertical="center"/>
    </xf>
    <xf numFmtId="4" fontId="20" fillId="8" borderId="2" xfId="5" applyNumberFormat="1" applyFont="1" applyFill="1" applyBorder="1" applyAlignment="1">
      <alignment horizontal="left" vertical="center" wrapText="1"/>
    </xf>
    <xf numFmtId="4" fontId="20" fillId="8" borderId="2" xfId="0" applyNumberFormat="1" applyFont="1" applyFill="1" applyBorder="1" applyAlignment="1">
      <alignment horizontal="left" vertical="center"/>
    </xf>
    <xf numFmtId="3" fontId="1" fillId="5" borderId="2" xfId="5" applyNumberFormat="1" applyFont="1" applyFill="1" applyBorder="1" applyAlignment="1">
      <alignment vertical="center"/>
    </xf>
    <xf numFmtId="0" fontId="20" fillId="0" borderId="1" xfId="5" applyFont="1" applyBorder="1" applyAlignment="1">
      <alignment vertical="center"/>
    </xf>
    <xf numFmtId="0" fontId="20" fillId="0" borderId="2" xfId="5" applyFont="1" applyBorder="1" applyAlignment="1">
      <alignment vertical="center"/>
    </xf>
    <xf numFmtId="173" fontId="0" fillId="0" borderId="0" xfId="0" applyNumberFormat="1"/>
    <xf numFmtId="0" fontId="24" fillId="0" borderId="0" xfId="0" applyFont="1"/>
    <xf numFmtId="0" fontId="25" fillId="0" borderId="0" xfId="0" applyFont="1"/>
    <xf numFmtId="49" fontId="24" fillId="0" borderId="0" xfId="0" applyNumberFormat="1" applyFont="1"/>
    <xf numFmtId="173" fontId="24" fillId="0" borderId="0" xfId="0" applyNumberFormat="1" applyFont="1"/>
    <xf numFmtId="10" fontId="24" fillId="0" borderId="0" xfId="0" applyNumberFormat="1" applyFont="1"/>
    <xf numFmtId="0" fontId="28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0" fontId="27" fillId="0" borderId="0" xfId="0" applyFont="1" applyAlignment="1">
      <alignment horizontal="left" vertical="top"/>
    </xf>
    <xf numFmtId="0" fontId="29" fillId="0" borderId="0" xfId="0" applyFont="1" applyAlignment="1">
      <alignment horizontal="left"/>
    </xf>
    <xf numFmtId="49" fontId="26" fillId="0" borderId="0" xfId="0" applyNumberFormat="1" applyFont="1" applyAlignment="1">
      <alignment horizontal="left"/>
    </xf>
    <xf numFmtId="174" fontId="24" fillId="0" borderId="0" xfId="0" applyNumberFormat="1" applyFont="1"/>
    <xf numFmtId="49" fontId="25" fillId="4" borderId="15" xfId="0" applyNumberFormat="1" applyFont="1" applyFill="1" applyBorder="1"/>
    <xf numFmtId="10" fontId="30" fillId="4" borderId="16" xfId="0" applyNumberFormat="1" applyFont="1" applyFill="1" applyBorder="1"/>
    <xf numFmtId="40" fontId="27" fillId="4" borderId="16" xfId="0" applyNumberFormat="1" applyFont="1" applyFill="1" applyBorder="1" applyAlignment="1">
      <alignment horizontal="center"/>
    </xf>
    <xf numFmtId="40" fontId="27" fillId="4" borderId="17" xfId="0" applyNumberFormat="1" applyFont="1" applyFill="1" applyBorder="1" applyAlignment="1">
      <alignment horizontal="center"/>
    </xf>
    <xf numFmtId="9" fontId="1" fillId="0" borderId="0" xfId="7" applyFill="1" applyBorder="1" applyAlignment="1" applyProtection="1"/>
    <xf numFmtId="0" fontId="24" fillId="0" borderId="0" xfId="0" applyFont="1" applyAlignment="1">
      <alignment vertical="center"/>
    </xf>
    <xf numFmtId="49" fontId="31" fillId="4" borderId="18" xfId="0" applyNumberFormat="1" applyFont="1" applyFill="1" applyBorder="1" applyAlignment="1">
      <alignment horizontal="center" vertical="center"/>
    </xf>
    <xf numFmtId="0" fontId="32" fillId="4" borderId="19" xfId="0" applyFont="1" applyFill="1" applyBorder="1" applyAlignment="1">
      <alignment horizontal="center" vertical="center"/>
    </xf>
    <xf numFmtId="10" fontId="33" fillId="4" borderId="19" xfId="0" applyNumberFormat="1" applyFont="1" applyFill="1" applyBorder="1" applyAlignment="1">
      <alignment horizontal="center" vertical="center"/>
    </xf>
    <xf numFmtId="49" fontId="33" fillId="4" borderId="19" xfId="0" applyNumberFormat="1" applyFont="1" applyFill="1" applyBorder="1" applyAlignment="1">
      <alignment horizontal="center" vertical="center"/>
    </xf>
    <xf numFmtId="49" fontId="33" fillId="4" borderId="20" xfId="0" applyNumberFormat="1" applyFont="1" applyFill="1" applyBorder="1" applyAlignment="1">
      <alignment horizontal="center" vertical="center"/>
    </xf>
    <xf numFmtId="173" fontId="33" fillId="4" borderId="0" xfId="0" applyNumberFormat="1" applyFont="1" applyFill="1" applyAlignment="1">
      <alignment horizontal="center" vertical="center"/>
    </xf>
    <xf numFmtId="175" fontId="24" fillId="0" borderId="0" xfId="0" applyNumberFormat="1" applyFont="1" applyAlignment="1">
      <alignment vertical="center"/>
    </xf>
    <xf numFmtId="0" fontId="31" fillId="0" borderId="21" xfId="0" applyFont="1" applyBorder="1" applyAlignment="1">
      <alignment horizontal="center" wrapText="1"/>
    </xf>
    <xf numFmtId="40" fontId="34" fillId="0" borderId="5" xfId="0" applyNumberFormat="1" applyFont="1" applyBorder="1" applyAlignment="1">
      <alignment horizontal="right"/>
    </xf>
    <xf numFmtId="164" fontId="35" fillId="5" borderId="5" xfId="8" applyFont="1" applyFill="1" applyBorder="1" applyAlignment="1" applyProtection="1">
      <alignment horizontal="center" vertical="center" wrapText="1"/>
    </xf>
    <xf numFmtId="10" fontId="34" fillId="0" borderId="4" xfId="0" applyNumberFormat="1" applyFont="1" applyBorder="1"/>
    <xf numFmtId="40" fontId="34" fillId="0" borderId="3" xfId="0" applyNumberFormat="1" applyFont="1" applyBorder="1"/>
    <xf numFmtId="40" fontId="34" fillId="0" borderId="22" xfId="0" applyNumberFormat="1" applyFont="1" applyBorder="1"/>
    <xf numFmtId="40" fontId="24" fillId="0" borderId="0" xfId="0" applyNumberFormat="1" applyFont="1"/>
    <xf numFmtId="0" fontId="35" fillId="5" borderId="5" xfId="0" applyFont="1" applyFill="1" applyBorder="1" applyAlignment="1">
      <alignment horizontal="center" vertical="center" wrapText="1"/>
    </xf>
    <xf numFmtId="10" fontId="34" fillId="9" borderId="4" xfId="0" applyNumberFormat="1" applyFont="1" applyFill="1" applyBorder="1"/>
    <xf numFmtId="10" fontId="34" fillId="9" borderId="22" xfId="0" applyNumberFormat="1" applyFont="1" applyFill="1" applyBorder="1"/>
    <xf numFmtId="9" fontId="36" fillId="0" borderId="0" xfId="0" applyNumberFormat="1" applyFont="1"/>
    <xf numFmtId="176" fontId="24" fillId="0" borderId="0" xfId="0" applyNumberFormat="1" applyFont="1"/>
    <xf numFmtId="10" fontId="34" fillId="5" borderId="4" xfId="0" applyNumberFormat="1" applyFont="1" applyFill="1" applyBorder="1"/>
    <xf numFmtId="0" fontId="24" fillId="0" borderId="0" xfId="0" applyFont="1" applyAlignment="1">
      <alignment horizontal="right"/>
    </xf>
    <xf numFmtId="10" fontId="34" fillId="0" borderId="22" xfId="0" applyNumberFormat="1" applyFont="1" applyBorder="1"/>
    <xf numFmtId="40" fontId="34" fillId="5" borderId="3" xfId="0" applyNumberFormat="1" applyFont="1" applyFill="1" applyBorder="1"/>
    <xf numFmtId="40" fontId="34" fillId="5" borderId="22" xfId="0" applyNumberFormat="1" applyFont="1" applyFill="1" applyBorder="1"/>
    <xf numFmtId="10" fontId="34" fillId="5" borderId="22" xfId="0" applyNumberFormat="1" applyFont="1" applyFill="1" applyBorder="1"/>
    <xf numFmtId="4" fontId="24" fillId="0" borderId="0" xfId="0" applyNumberFormat="1" applyFont="1"/>
    <xf numFmtId="0" fontId="31" fillId="0" borderId="23" xfId="0" applyFont="1" applyBorder="1" applyAlignment="1">
      <alignment horizontal="center" wrapText="1"/>
    </xf>
    <xf numFmtId="40" fontId="34" fillId="0" borderId="24" xfId="0" applyNumberFormat="1" applyFont="1" applyBorder="1"/>
    <xf numFmtId="10" fontId="34" fillId="0" borderId="3" xfId="0" applyNumberFormat="1" applyFont="1" applyBorder="1"/>
    <xf numFmtId="10" fontId="34" fillId="6" borderId="3" xfId="0" applyNumberFormat="1" applyFont="1" applyFill="1" applyBorder="1"/>
    <xf numFmtId="10" fontId="34" fillId="6" borderId="22" xfId="0" applyNumberFormat="1" applyFont="1" applyFill="1" applyBorder="1"/>
    <xf numFmtId="164" fontId="35" fillId="0" borderId="5" xfId="8" applyFont="1" applyFill="1" applyBorder="1" applyAlignment="1" applyProtection="1">
      <alignment horizontal="center" vertical="center" wrapText="1"/>
    </xf>
    <xf numFmtId="0" fontId="35" fillId="0" borderId="5" xfId="0" applyFont="1" applyBorder="1" applyAlignment="1">
      <alignment horizontal="center" vertical="center" wrapText="1"/>
    </xf>
    <xf numFmtId="10" fontId="34" fillId="5" borderId="3" xfId="0" applyNumberFormat="1" applyFont="1" applyFill="1" applyBorder="1"/>
    <xf numFmtId="9" fontId="34" fillId="0" borderId="3" xfId="0" applyNumberFormat="1" applyFont="1" applyBorder="1"/>
    <xf numFmtId="10" fontId="34" fillId="9" borderId="3" xfId="0" applyNumberFormat="1" applyFont="1" applyFill="1" applyBorder="1"/>
    <xf numFmtId="49" fontId="31" fillId="4" borderId="25" xfId="0" applyNumberFormat="1" applyFont="1" applyFill="1" applyBorder="1" applyAlignment="1">
      <alignment horizontal="center"/>
    </xf>
    <xf numFmtId="0" fontId="33" fillId="4" borderId="2" xfId="0" applyFont="1" applyFill="1" applyBorder="1"/>
    <xf numFmtId="0" fontId="33" fillId="4" borderId="1" xfId="0" applyFont="1" applyFill="1" applyBorder="1"/>
    <xf numFmtId="40" fontId="33" fillId="4" borderId="1" xfId="0" applyNumberFormat="1" applyFont="1" applyFill="1" applyBorder="1"/>
    <xf numFmtId="10" fontId="33" fillId="4" borderId="1" xfId="0" applyNumberFormat="1" applyFont="1" applyFill="1" applyBorder="1"/>
    <xf numFmtId="4" fontId="33" fillId="4" borderId="26" xfId="0" applyNumberFormat="1" applyFont="1" applyFill="1" applyBorder="1" applyAlignment="1">
      <alignment horizontal="right"/>
    </xf>
    <xf numFmtId="9" fontId="33" fillId="4" borderId="2" xfId="0" applyNumberFormat="1" applyFont="1" applyFill="1" applyBorder="1"/>
    <xf numFmtId="49" fontId="31" fillId="4" borderId="27" xfId="0" applyNumberFormat="1" applyFont="1" applyFill="1" applyBorder="1" applyAlignment="1">
      <alignment horizontal="center"/>
    </xf>
    <xf numFmtId="0" fontId="33" fillId="4" borderId="14" xfId="0" applyFont="1" applyFill="1" applyBorder="1"/>
    <xf numFmtId="40" fontId="33" fillId="4" borderId="14" xfId="0" applyNumberFormat="1" applyFont="1" applyFill="1" applyBorder="1"/>
    <xf numFmtId="10" fontId="33" fillId="4" borderId="28" xfId="0" applyNumberFormat="1" applyFont="1" applyFill="1" applyBorder="1"/>
    <xf numFmtId="10" fontId="33" fillId="4" borderId="19" xfId="0" applyNumberFormat="1" applyFont="1" applyFill="1" applyBorder="1" applyAlignment="1">
      <alignment horizontal="right"/>
    </xf>
    <xf numFmtId="10" fontId="33" fillId="4" borderId="20" xfId="0" applyNumberFormat="1" applyFont="1" applyFill="1" applyBorder="1" applyAlignment="1">
      <alignment horizontal="right"/>
    </xf>
    <xf numFmtId="0" fontId="37" fillId="0" borderId="0" xfId="0" applyFont="1"/>
    <xf numFmtId="40" fontId="33" fillId="0" borderId="5" xfId="0" applyNumberFormat="1" applyFont="1" applyBorder="1" applyAlignment="1">
      <alignment horizontal="right"/>
    </xf>
    <xf numFmtId="164" fontId="31" fillId="5" borderId="5" xfId="8" applyFont="1" applyFill="1" applyBorder="1" applyAlignment="1" applyProtection="1">
      <alignment horizontal="center" vertical="center" wrapText="1"/>
    </xf>
    <xf numFmtId="10" fontId="33" fillId="0" borderId="4" xfId="0" applyNumberFormat="1" applyFont="1" applyBorder="1"/>
    <xf numFmtId="40" fontId="33" fillId="0" borderId="3" xfId="0" applyNumberFormat="1" applyFont="1" applyBorder="1"/>
    <xf numFmtId="40" fontId="33" fillId="0" borderId="29" xfId="0" applyNumberFormat="1" applyFont="1" applyBorder="1"/>
    <xf numFmtId="173" fontId="37" fillId="0" borderId="0" xfId="0" applyNumberFormat="1" applyFont="1"/>
    <xf numFmtId="0" fontId="31" fillId="5" borderId="5" xfId="0" applyFont="1" applyFill="1" applyBorder="1" applyAlignment="1">
      <alignment horizontal="center" vertical="center" wrapText="1"/>
    </xf>
    <xf numFmtId="10" fontId="33" fillId="9" borderId="4" xfId="0" applyNumberFormat="1" applyFont="1" applyFill="1" applyBorder="1"/>
    <xf numFmtId="10" fontId="33" fillId="9" borderId="22" xfId="0" applyNumberFormat="1" applyFont="1" applyFill="1" applyBorder="1"/>
    <xf numFmtId="40" fontId="33" fillId="4" borderId="26" xfId="0" applyNumberFormat="1" applyFont="1" applyFill="1" applyBorder="1"/>
    <xf numFmtId="2" fontId="4" fillId="5" borderId="0" xfId="0" applyNumberFormat="1" applyFont="1" applyFill="1" applyAlignment="1">
      <alignment horizontal="center" vertical="center" wrapText="1"/>
    </xf>
    <xf numFmtId="2" fontId="4" fillId="5" borderId="0" xfId="4" applyNumberFormat="1" applyFont="1" applyFill="1" applyAlignment="1">
      <alignment horizontal="center" vertical="center" wrapText="1"/>
    </xf>
    <xf numFmtId="169" fontId="4" fillId="5" borderId="0" xfId="1" applyNumberFormat="1" applyFont="1" applyFill="1" applyAlignment="1">
      <alignment horizontal="center" vertical="center" wrapText="1"/>
    </xf>
    <xf numFmtId="165" fontId="4" fillId="5" borderId="0" xfId="4" applyNumberFormat="1" applyFont="1" applyFill="1" applyAlignment="1">
      <alignment horizontal="center" vertical="center" wrapText="1"/>
    </xf>
    <xf numFmtId="0" fontId="0" fillId="0" borderId="0" xfId="0" applyAlignment="1">
      <alignment wrapText="1"/>
    </xf>
    <xf numFmtId="169" fontId="4" fillId="5" borderId="0" xfId="2" applyNumberFormat="1" applyFont="1" applyFill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2" fontId="2" fillId="0" borderId="2" xfId="0" applyNumberFormat="1" applyFont="1" applyBorder="1" applyAlignment="1">
      <alignment horizontal="center"/>
    </xf>
    <xf numFmtId="10" fontId="3" fillId="0" borderId="5" xfId="0" applyNumberFormat="1" applyFont="1" applyBorder="1" applyAlignment="1">
      <alignment vertical="center"/>
    </xf>
    <xf numFmtId="165" fontId="3" fillId="0" borderId="2" xfId="0" applyNumberFormat="1" applyFont="1" applyBorder="1" applyAlignment="1">
      <alignment vertical="center"/>
    </xf>
    <xf numFmtId="167" fontId="3" fillId="4" borderId="30" xfId="0" applyNumberFormat="1" applyFont="1" applyFill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4" fillId="5" borderId="30" xfId="0" applyFont="1" applyFill="1" applyBorder="1" applyAlignment="1">
      <alignment horizontal="center" vertical="center" wrapText="1"/>
    </xf>
    <xf numFmtId="165" fontId="5" fillId="5" borderId="30" xfId="0" applyNumberFormat="1" applyFont="1" applyFill="1" applyBorder="1" applyAlignment="1">
      <alignment horizontal="center" vertical="center" wrapText="1"/>
    </xf>
    <xf numFmtId="0" fontId="3" fillId="5" borderId="30" xfId="0" applyFont="1" applyFill="1" applyBorder="1" applyAlignment="1">
      <alignment horizontal="center" vertical="center" wrapText="1"/>
    </xf>
    <xf numFmtId="167" fontId="3" fillId="5" borderId="30" xfId="0" applyNumberFormat="1" applyFont="1" applyFill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5" borderId="30" xfId="0" applyFont="1" applyFill="1" applyBorder="1" applyAlignment="1">
      <alignment horizontal="center" vertical="center"/>
    </xf>
    <xf numFmtId="0" fontId="5" fillId="4" borderId="30" xfId="0" applyFont="1" applyFill="1" applyBorder="1" applyAlignment="1">
      <alignment horizontal="center" vertical="center" wrapText="1"/>
    </xf>
    <xf numFmtId="0" fontId="13" fillId="4" borderId="30" xfId="0" applyFont="1" applyFill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5" fillId="5" borderId="30" xfId="0" applyFont="1" applyFill="1" applyBorder="1" applyAlignment="1">
      <alignment horizontal="center" vertical="center" wrapText="1"/>
    </xf>
    <xf numFmtId="49" fontId="4" fillId="0" borderId="30" xfId="0" applyNumberFormat="1" applyFont="1" applyBorder="1" applyAlignment="1">
      <alignment horizontal="center" vertical="center" wrapText="1"/>
    </xf>
    <xf numFmtId="49" fontId="4" fillId="5" borderId="30" xfId="0" applyNumberFormat="1" applyFont="1" applyFill="1" applyBorder="1" applyAlignment="1">
      <alignment horizontal="center" vertical="center" wrapText="1"/>
    </xf>
    <xf numFmtId="3" fontId="4" fillId="5" borderId="30" xfId="0" applyNumberFormat="1" applyFont="1" applyFill="1" applyBorder="1" applyAlignment="1">
      <alignment horizontal="center" vertical="center" wrapText="1"/>
    </xf>
    <xf numFmtId="0" fontId="13" fillId="5" borderId="30" xfId="0" applyFont="1" applyFill="1" applyBorder="1" applyAlignment="1">
      <alignment horizontal="center" vertical="center" wrapText="1"/>
    </xf>
    <xf numFmtId="0" fontId="2" fillId="4" borderId="30" xfId="0" applyFont="1" applyFill="1" applyBorder="1" applyAlignment="1">
      <alignment horizontal="center" vertical="center" wrapText="1"/>
    </xf>
    <xf numFmtId="171" fontId="4" fillId="5" borderId="30" xfId="0" applyNumberFormat="1" applyFont="1" applyFill="1" applyBorder="1" applyAlignment="1">
      <alignment horizontal="center" vertical="center" wrapText="1"/>
    </xf>
    <xf numFmtId="171" fontId="4" fillId="0" borderId="30" xfId="0" applyNumberFormat="1" applyFont="1" applyBorder="1" applyAlignment="1">
      <alignment horizontal="center" vertical="center" wrapText="1"/>
    </xf>
    <xf numFmtId="165" fontId="3" fillId="0" borderId="5" xfId="0" applyNumberFormat="1" applyFont="1" applyBorder="1" applyAlignment="1">
      <alignment vertical="center"/>
    </xf>
    <xf numFmtId="165" fontId="3" fillId="5" borderId="2" xfId="0" applyNumberFormat="1" applyFont="1" applyFill="1" applyBorder="1" applyAlignment="1">
      <alignment vertical="center"/>
    </xf>
    <xf numFmtId="165" fontId="13" fillId="0" borderId="2" xfId="0" applyNumberFormat="1" applyFont="1" applyBorder="1" applyAlignment="1">
      <alignment vertical="center"/>
    </xf>
    <xf numFmtId="167" fontId="3" fillId="0" borderId="30" xfId="0" applyNumberFormat="1" applyFont="1" applyBorder="1" applyAlignment="1">
      <alignment horizontal="center" vertical="center" wrapText="1"/>
    </xf>
    <xf numFmtId="165" fontId="4" fillId="0" borderId="30" xfId="0" applyNumberFormat="1" applyFont="1" applyBorder="1" applyAlignment="1">
      <alignment horizontal="right" vertical="center" wrapText="1"/>
    </xf>
    <xf numFmtId="167" fontId="13" fillId="4" borderId="30" xfId="0" applyNumberFormat="1" applyFont="1" applyFill="1" applyBorder="1" applyAlignment="1">
      <alignment horizontal="center" vertical="center" wrapText="1"/>
    </xf>
    <xf numFmtId="165" fontId="5" fillId="5" borderId="30" xfId="0" applyNumberFormat="1" applyFont="1" applyFill="1" applyBorder="1" applyAlignment="1">
      <alignment horizontal="right" vertical="center" wrapText="1"/>
    </xf>
    <xf numFmtId="165" fontId="5" fillId="0" borderId="30" xfId="0" applyNumberFormat="1" applyFont="1" applyBorder="1" applyAlignment="1">
      <alignment horizontal="right" vertical="center" wrapText="1"/>
    </xf>
    <xf numFmtId="167" fontId="13" fillId="5" borderId="30" xfId="0" applyNumberFormat="1" applyFont="1" applyFill="1" applyBorder="1" applyAlignment="1">
      <alignment horizontal="center" vertical="center" wrapText="1"/>
    </xf>
    <xf numFmtId="0" fontId="4" fillId="0" borderId="4" xfId="6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5" borderId="30" xfId="6" applyFont="1" applyFill="1" applyBorder="1" applyAlignment="1">
      <alignment horizontal="center" vertical="center" wrapText="1"/>
    </xf>
    <xf numFmtId="0" fontId="4" fillId="0" borderId="30" xfId="6" applyFont="1" applyBorder="1" applyAlignment="1">
      <alignment horizontal="center" vertical="center" wrapText="1"/>
    </xf>
    <xf numFmtId="0" fontId="13" fillId="5" borderId="30" xfId="6" applyFont="1" applyFill="1" applyBorder="1" applyAlignment="1">
      <alignment horizontal="center" vertical="center" wrapText="1"/>
    </xf>
    <xf numFmtId="0" fontId="5" fillId="0" borderId="30" xfId="6" applyFont="1" applyBorder="1" applyAlignment="1">
      <alignment horizontal="center" vertical="center" wrapText="1"/>
    </xf>
    <xf numFmtId="0" fontId="5" fillId="5" borderId="30" xfId="6" applyFont="1" applyFill="1" applyBorder="1" applyAlignment="1">
      <alignment horizontal="center" vertical="center" wrapText="1"/>
    </xf>
    <xf numFmtId="165" fontId="3" fillId="0" borderId="2" xfId="0" applyNumberFormat="1" applyFont="1" applyBorder="1" applyAlignment="1">
      <alignment vertical="center" wrapText="1"/>
    </xf>
    <xf numFmtId="165" fontId="3" fillId="0" borderId="5" xfId="0" applyNumberFormat="1" applyFont="1" applyBorder="1" applyAlignment="1">
      <alignment vertical="center" wrapText="1"/>
    </xf>
    <xf numFmtId="165" fontId="4" fillId="5" borderId="30" xfId="0" applyNumberFormat="1" applyFont="1" applyFill="1" applyBorder="1" applyAlignment="1">
      <alignment horizontal="center" vertical="center" wrapText="1"/>
    </xf>
    <xf numFmtId="165" fontId="4" fillId="5" borderId="30" xfId="6" applyNumberFormat="1" applyFont="1" applyFill="1" applyBorder="1" applyAlignment="1">
      <alignment horizontal="center" vertical="center" wrapText="1"/>
    </xf>
    <xf numFmtId="165" fontId="4" fillId="0" borderId="30" xfId="0" applyNumberFormat="1" applyFont="1" applyBorder="1" applyAlignment="1">
      <alignment horizontal="center" vertical="center" wrapText="1"/>
    </xf>
    <xf numFmtId="165" fontId="4" fillId="0" borderId="30" xfId="6" applyNumberFormat="1" applyFont="1" applyBorder="1" applyAlignment="1">
      <alignment horizontal="center" vertical="center" wrapText="1"/>
    </xf>
    <xf numFmtId="167" fontId="13" fillId="5" borderId="30" xfId="6" applyNumberFormat="1" applyFont="1" applyFill="1" applyBorder="1" applyAlignment="1">
      <alignment horizontal="center" vertical="center" wrapText="1"/>
    </xf>
    <xf numFmtId="165" fontId="5" fillId="0" borderId="30" xfId="6" applyNumberFormat="1" applyFont="1" applyBorder="1" applyAlignment="1">
      <alignment horizontal="center" vertical="center" wrapText="1"/>
    </xf>
    <xf numFmtId="165" fontId="5" fillId="5" borderId="30" xfId="6" applyNumberFormat="1" applyFont="1" applyFill="1" applyBorder="1" applyAlignment="1">
      <alignment horizontal="center" vertical="center" wrapText="1"/>
    </xf>
    <xf numFmtId="0" fontId="45" fillId="0" borderId="0" xfId="0" applyFont="1"/>
    <xf numFmtId="0" fontId="4" fillId="5" borderId="33" xfId="0" applyFont="1" applyFill="1" applyBorder="1" applyAlignment="1">
      <alignment horizontal="center" vertical="center" wrapText="1"/>
    </xf>
    <xf numFmtId="165" fontId="4" fillId="5" borderId="33" xfId="0" applyNumberFormat="1" applyFont="1" applyFill="1" applyBorder="1" applyAlignment="1">
      <alignment horizontal="right" vertical="center" wrapText="1"/>
    </xf>
    <xf numFmtId="0" fontId="4" fillId="5" borderId="34" xfId="0" applyFont="1" applyFill="1" applyBorder="1" applyAlignment="1">
      <alignment horizontal="center" vertical="center" wrapText="1"/>
    </xf>
    <xf numFmtId="0" fontId="4" fillId="5" borderId="35" xfId="0" applyFont="1" applyFill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10" fontId="3" fillId="0" borderId="33" xfId="0" applyNumberFormat="1" applyFont="1" applyBorder="1" applyAlignment="1">
      <alignment vertical="center"/>
    </xf>
    <xf numFmtId="0" fontId="4" fillId="0" borderId="35" xfId="0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5" borderId="37" xfId="0" applyFont="1" applyFill="1" applyBorder="1" applyAlignment="1">
      <alignment horizontal="center" vertical="center" wrapText="1"/>
    </xf>
    <xf numFmtId="165" fontId="4" fillId="5" borderId="37" xfId="0" applyNumberFormat="1" applyFont="1" applyFill="1" applyBorder="1" applyAlignment="1">
      <alignment horizontal="right" vertical="center" wrapText="1"/>
    </xf>
    <xf numFmtId="10" fontId="3" fillId="0" borderId="37" xfId="0" applyNumberFormat="1" applyFont="1" applyBorder="1" applyAlignment="1">
      <alignment vertical="center"/>
    </xf>
    <xf numFmtId="4" fontId="48" fillId="5" borderId="2" xfId="5" applyNumberFormat="1" applyFont="1" applyFill="1" applyBorder="1" applyAlignment="1">
      <alignment horizontal="center" vertical="center" wrapText="1"/>
    </xf>
    <xf numFmtId="4" fontId="47" fillId="8" borderId="2" xfId="5" applyNumberFormat="1" applyFont="1" applyFill="1" applyBorder="1" applyAlignment="1">
      <alignment horizontal="center" vertical="center" wrapText="1"/>
    </xf>
    <xf numFmtId="0" fontId="47" fillId="4" borderId="2" xfId="5" applyFont="1" applyFill="1" applyBorder="1" applyAlignment="1">
      <alignment horizontal="center" vertical="center" wrapText="1"/>
    </xf>
    <xf numFmtId="0" fontId="46" fillId="0" borderId="38" xfId="0" applyFont="1" applyBorder="1" applyAlignment="1">
      <alignment horizontal="center" vertical="center" wrapText="1"/>
    </xf>
    <xf numFmtId="4" fontId="48" fillId="5" borderId="2" xfId="0" applyNumberFormat="1" applyFont="1" applyFill="1" applyBorder="1" applyAlignment="1">
      <alignment horizontal="center" vertical="center"/>
    </xf>
    <xf numFmtId="4" fontId="1" fillId="0" borderId="2" xfId="6" applyNumberFormat="1" applyFont="1" applyBorder="1" applyAlignment="1">
      <alignment horizontal="center" vertical="center"/>
    </xf>
    <xf numFmtId="2" fontId="1" fillId="0" borderId="2" xfId="5" applyNumberFormat="1" applyFont="1" applyBorder="1" applyAlignment="1">
      <alignment horizontal="center" vertical="center" wrapText="1"/>
    </xf>
    <xf numFmtId="4" fontId="48" fillId="0" borderId="2" xfId="5" applyNumberFormat="1" applyFont="1" applyBorder="1" applyAlignment="1">
      <alignment horizontal="center" vertical="center" wrapText="1"/>
    </xf>
    <xf numFmtId="0" fontId="50" fillId="0" borderId="0" xfId="0" applyFont="1"/>
    <xf numFmtId="4" fontId="48" fillId="0" borderId="2" xfId="0" applyNumberFormat="1" applyFont="1" applyBorder="1" applyAlignment="1">
      <alignment horizontal="center" vertical="center"/>
    </xf>
    <xf numFmtId="2" fontId="48" fillId="0" borderId="2" xfId="5" applyNumberFormat="1" applyFont="1" applyBorder="1" applyAlignment="1">
      <alignment horizontal="center" vertical="center" wrapText="1"/>
    </xf>
    <xf numFmtId="2" fontId="3" fillId="3" borderId="41" xfId="0" applyNumberFormat="1" applyFont="1" applyFill="1" applyBorder="1" applyAlignment="1">
      <alignment horizontal="center" vertical="center" wrapText="1"/>
    </xf>
    <xf numFmtId="4" fontId="3" fillId="3" borderId="43" xfId="0" applyNumberFormat="1" applyFont="1" applyFill="1" applyBorder="1" applyAlignment="1">
      <alignment horizontal="center" vertical="center" wrapText="1"/>
    </xf>
    <xf numFmtId="2" fontId="3" fillId="3" borderId="44" xfId="0" applyNumberFormat="1" applyFont="1" applyFill="1" applyBorder="1" applyAlignment="1">
      <alignment horizontal="center" vertical="center" wrapText="1"/>
    </xf>
    <xf numFmtId="4" fontId="3" fillId="3" borderId="45" xfId="0" applyNumberFormat="1" applyFont="1" applyFill="1" applyBorder="1" applyAlignment="1">
      <alignment horizontal="center" vertical="center" wrapText="1"/>
    </xf>
    <xf numFmtId="165" fontId="4" fillId="5" borderId="45" xfId="0" applyNumberFormat="1" applyFont="1" applyFill="1" applyBorder="1" applyAlignment="1">
      <alignment horizontal="right" vertical="center" wrapText="1"/>
    </xf>
    <xf numFmtId="10" fontId="3" fillId="0" borderId="46" xfId="0" applyNumberFormat="1" applyFont="1" applyBorder="1" applyAlignment="1">
      <alignment vertical="center"/>
    </xf>
    <xf numFmtId="165" fontId="3" fillId="0" borderId="46" xfId="0" applyNumberFormat="1" applyFont="1" applyBorder="1" applyAlignment="1">
      <alignment vertical="center"/>
    </xf>
    <xf numFmtId="0" fontId="3" fillId="4" borderId="47" xfId="0" applyFont="1" applyFill="1" applyBorder="1" applyAlignment="1">
      <alignment horizontal="left" vertical="center" wrapText="1"/>
    </xf>
    <xf numFmtId="0" fontId="3" fillId="4" borderId="47" xfId="0" applyFont="1" applyFill="1" applyBorder="1" applyAlignment="1">
      <alignment horizontal="center" vertical="center" wrapText="1"/>
    </xf>
    <xf numFmtId="165" fontId="5" fillId="4" borderId="47" xfId="0" applyNumberFormat="1" applyFont="1" applyFill="1" applyBorder="1" applyAlignment="1">
      <alignment horizontal="center" vertical="center" wrapText="1"/>
    </xf>
    <xf numFmtId="168" fontId="4" fillId="4" borderId="47" xfId="0" applyNumberFormat="1" applyFont="1" applyFill="1" applyBorder="1" applyAlignment="1">
      <alignment horizontal="center" vertical="center" wrapText="1"/>
    </xf>
    <xf numFmtId="10" fontId="3" fillId="4" borderId="46" xfId="0" applyNumberFormat="1" applyFont="1" applyFill="1" applyBorder="1" applyAlignment="1">
      <alignment vertical="center"/>
    </xf>
    <xf numFmtId="165" fontId="46" fillId="5" borderId="45" xfId="0" applyNumberFormat="1" applyFont="1" applyFill="1" applyBorder="1" applyAlignment="1">
      <alignment horizontal="right" vertical="center" wrapText="1"/>
    </xf>
    <xf numFmtId="0" fontId="4" fillId="0" borderId="47" xfId="0" applyFont="1" applyBorder="1" applyAlignment="1">
      <alignment horizontal="left" vertical="center" wrapText="1"/>
    </xf>
    <xf numFmtId="0" fontId="4" fillId="0" borderId="45" xfId="6" applyFont="1" applyBorder="1" applyAlignment="1">
      <alignment horizontal="center" vertical="center" wrapText="1"/>
    </xf>
    <xf numFmtId="165" fontId="3" fillId="0" borderId="46" xfId="0" applyNumberFormat="1" applyFont="1" applyBorder="1" applyAlignment="1">
      <alignment vertical="center" wrapText="1"/>
    </xf>
    <xf numFmtId="0" fontId="6" fillId="0" borderId="47" xfId="0" applyFont="1" applyBorder="1" applyAlignment="1">
      <alignment horizontal="center" vertical="center" wrapText="1"/>
    </xf>
    <xf numFmtId="4" fontId="1" fillId="0" borderId="46" xfId="5" applyNumberFormat="1" applyFont="1" applyBorder="1" applyAlignment="1">
      <alignment horizontal="center" vertical="center" wrapText="1"/>
    </xf>
    <xf numFmtId="0" fontId="20" fillId="5" borderId="46" xfId="5" applyFont="1" applyFill="1" applyBorder="1" applyAlignment="1">
      <alignment horizontal="center" vertical="center" wrapText="1"/>
    </xf>
    <xf numFmtId="4" fontId="20" fillId="0" borderId="46" xfId="5" applyNumberFormat="1" applyFont="1" applyBorder="1" applyAlignment="1">
      <alignment horizontal="center" vertical="center" wrapText="1"/>
    </xf>
    <xf numFmtId="40" fontId="34" fillId="0" borderId="46" xfId="0" applyNumberFormat="1" applyFont="1" applyBorder="1" applyAlignment="1">
      <alignment horizontal="right"/>
    </xf>
    <xf numFmtId="164" fontId="35" fillId="5" borderId="46" xfId="8" applyFont="1" applyFill="1" applyBorder="1" applyAlignment="1" applyProtection="1">
      <alignment horizontal="center" vertical="center" wrapText="1"/>
    </xf>
    <xf numFmtId="10" fontId="34" fillId="0" borderId="45" xfId="0" applyNumberFormat="1" applyFont="1" applyBorder="1"/>
    <xf numFmtId="0" fontId="1" fillId="5" borderId="41" xfId="5" applyFont="1" applyFill="1" applyBorder="1" applyAlignment="1">
      <alignment horizontal="center" vertical="center"/>
    </xf>
    <xf numFmtId="0" fontId="1" fillId="5" borderId="41" xfId="6" applyFont="1" applyFill="1" applyBorder="1" applyAlignment="1">
      <alignment horizontal="center" vertical="center"/>
    </xf>
    <xf numFmtId="3" fontId="21" fillId="5" borderId="41" xfId="5" applyNumberFormat="1" applyFont="1" applyFill="1" applyBorder="1" applyAlignment="1">
      <alignment horizontal="center" vertical="center"/>
    </xf>
    <xf numFmtId="4" fontId="1" fillId="5" borderId="41" xfId="5" applyNumberFormat="1" applyFont="1" applyFill="1" applyBorder="1" applyAlignment="1">
      <alignment horizontal="center" vertical="center"/>
    </xf>
    <xf numFmtId="165" fontId="46" fillId="5" borderId="43" xfId="0" applyNumberFormat="1" applyFont="1" applyFill="1" applyBorder="1" applyAlignment="1">
      <alignment horizontal="right" vertical="center" wrapText="1"/>
    </xf>
    <xf numFmtId="0" fontId="1" fillId="0" borderId="41" xfId="5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0" fontId="47" fillId="8" borderId="41" xfId="5" applyFont="1" applyFill="1" applyBorder="1" applyAlignment="1">
      <alignment horizontal="center" vertical="center"/>
    </xf>
    <xf numFmtId="0" fontId="47" fillId="8" borderId="41" xfId="5" applyFont="1" applyFill="1" applyBorder="1" applyAlignment="1">
      <alignment vertical="center"/>
    </xf>
    <xf numFmtId="0" fontId="4" fillId="4" borderId="42" xfId="0" applyFont="1" applyFill="1" applyBorder="1" applyAlignment="1">
      <alignment horizontal="center" vertical="center" wrapText="1"/>
    </xf>
    <xf numFmtId="0" fontId="3" fillId="4" borderId="42" xfId="0" applyFont="1" applyFill="1" applyBorder="1" applyAlignment="1">
      <alignment horizontal="center" vertical="center" wrapText="1"/>
    </xf>
    <xf numFmtId="0" fontId="4" fillId="5" borderId="41" xfId="0" applyFont="1" applyFill="1" applyBorder="1" applyAlignment="1">
      <alignment horizontal="center" vertical="center" wrapText="1"/>
    </xf>
    <xf numFmtId="165" fontId="4" fillId="5" borderId="41" xfId="0" applyNumberFormat="1" applyFont="1" applyFill="1" applyBorder="1" applyAlignment="1">
      <alignment horizontal="right" vertical="center" wrapText="1"/>
    </xf>
    <xf numFmtId="165" fontId="4" fillId="5" borderId="43" xfId="0" applyNumberFormat="1" applyFont="1" applyFill="1" applyBorder="1" applyAlignment="1">
      <alignment horizontal="right" vertical="center" wrapText="1"/>
    </xf>
    <xf numFmtId="0" fontId="4" fillId="5" borderId="44" xfId="0" applyFont="1" applyFill="1" applyBorder="1" applyAlignment="1">
      <alignment horizontal="center" vertical="center" wrapText="1"/>
    </xf>
    <xf numFmtId="165" fontId="4" fillId="5" borderId="44" xfId="0" applyNumberFormat="1" applyFont="1" applyFill="1" applyBorder="1" applyAlignment="1">
      <alignment horizontal="right" vertical="center" wrapText="1"/>
    </xf>
    <xf numFmtId="0" fontId="4" fillId="0" borderId="41" xfId="0" applyFont="1" applyBorder="1" applyAlignment="1">
      <alignment horizontal="center" vertical="center" wrapText="1"/>
    </xf>
    <xf numFmtId="10" fontId="3" fillId="0" borderId="41" xfId="0" applyNumberFormat="1" applyFont="1" applyBorder="1" applyAlignment="1">
      <alignment vertical="center"/>
    </xf>
    <xf numFmtId="0" fontId="4" fillId="0" borderId="44" xfId="0" applyFont="1" applyBorder="1" applyAlignment="1">
      <alignment horizontal="center" vertical="center" wrapText="1"/>
    </xf>
    <xf numFmtId="10" fontId="3" fillId="0" borderId="44" xfId="0" applyNumberFormat="1" applyFont="1" applyBorder="1" applyAlignment="1">
      <alignment vertical="center"/>
    </xf>
    <xf numFmtId="0" fontId="4" fillId="5" borderId="41" xfId="0" applyFont="1" applyFill="1" applyBorder="1" applyAlignment="1">
      <alignment horizontal="left" vertical="center" wrapText="1"/>
    </xf>
    <xf numFmtId="165" fontId="4" fillId="5" borderId="41" xfId="0" applyNumberFormat="1" applyFont="1" applyFill="1" applyBorder="1" applyAlignment="1">
      <alignment horizontal="center" vertical="center" wrapText="1"/>
    </xf>
    <xf numFmtId="0" fontId="4" fillId="5" borderId="43" xfId="0" applyFont="1" applyFill="1" applyBorder="1" applyAlignment="1">
      <alignment horizontal="center" vertical="center" wrapText="1"/>
    </xf>
    <xf numFmtId="165" fontId="5" fillId="0" borderId="41" xfId="0" applyNumberFormat="1" applyFont="1" applyBorder="1" applyAlignment="1">
      <alignment horizontal="center" vertical="center" wrapText="1"/>
    </xf>
    <xf numFmtId="165" fontId="4" fillId="0" borderId="43" xfId="0" applyNumberFormat="1" applyFont="1" applyBorder="1" applyAlignment="1">
      <alignment horizontal="right" vertical="center" wrapText="1"/>
    </xf>
    <xf numFmtId="165" fontId="4" fillId="0" borderId="41" xfId="0" applyNumberFormat="1" applyFont="1" applyBorder="1" applyAlignment="1">
      <alignment horizontal="center" vertical="center" wrapText="1"/>
    </xf>
    <xf numFmtId="0" fontId="3" fillId="0" borderId="41" xfId="0" applyFont="1" applyBorder="1" applyAlignment="1">
      <alignment vertical="center"/>
    </xf>
    <xf numFmtId="0" fontId="4" fillId="0" borderId="43" xfId="0" applyFont="1" applyBorder="1" applyAlignment="1">
      <alignment horizontal="center" vertical="center" wrapText="1"/>
    </xf>
    <xf numFmtId="165" fontId="3" fillId="0" borderId="41" xfId="0" applyNumberFormat="1" applyFont="1" applyBorder="1" applyAlignment="1">
      <alignment vertical="center"/>
    </xf>
    <xf numFmtId="0" fontId="5" fillId="0" borderId="43" xfId="0" applyFont="1" applyBorder="1" applyAlignment="1">
      <alignment horizontal="center" vertical="center" wrapText="1"/>
    </xf>
    <xf numFmtId="0" fontId="6" fillId="3" borderId="43" xfId="0" applyFont="1" applyFill="1" applyBorder="1" applyAlignment="1">
      <alignment horizontal="center" vertical="center" wrapText="1"/>
    </xf>
    <xf numFmtId="168" fontId="6" fillId="3" borderId="43" xfId="0" applyNumberFormat="1" applyFont="1" applyFill="1" applyBorder="1" applyAlignment="1">
      <alignment horizontal="center" vertical="center" wrapText="1"/>
    </xf>
    <xf numFmtId="0" fontId="4" fillId="4" borderId="43" xfId="0" applyFont="1" applyFill="1" applyBorder="1" applyAlignment="1">
      <alignment horizontal="center" vertical="center" wrapText="1"/>
    </xf>
    <xf numFmtId="0" fontId="4" fillId="0" borderId="43" xfId="6" applyFont="1" applyBorder="1" applyAlignment="1">
      <alignment horizontal="center" vertical="center" wrapText="1"/>
    </xf>
    <xf numFmtId="0" fontId="13" fillId="0" borderId="43" xfId="6" applyFont="1" applyBorder="1" applyAlignment="1">
      <alignment horizontal="center" vertical="center" wrapText="1"/>
    </xf>
    <xf numFmtId="0" fontId="20" fillId="4" borderId="41" xfId="0" applyFont="1" applyFill="1" applyBorder="1" applyAlignment="1">
      <alignment horizontal="left" vertical="center" wrapText="1"/>
    </xf>
    <xf numFmtId="0" fontId="20" fillId="4" borderId="41" xfId="5" applyFont="1" applyFill="1" applyBorder="1" applyAlignment="1">
      <alignment horizontal="center" vertical="center"/>
    </xf>
    <xf numFmtId="0" fontId="20" fillId="4" borderId="44" xfId="5" applyFont="1" applyFill="1" applyBorder="1" applyAlignment="1">
      <alignment horizontal="center" vertical="center" wrapText="1"/>
    </xf>
    <xf numFmtId="0" fontId="20" fillId="4" borderId="41" xfId="5" applyFont="1" applyFill="1" applyBorder="1" applyAlignment="1">
      <alignment horizontal="center" vertical="center" wrapText="1"/>
    </xf>
    <xf numFmtId="0" fontId="20" fillId="0" borderId="41" xfId="5" applyFont="1" applyBorder="1" applyAlignment="1">
      <alignment horizontal="center" vertical="center"/>
    </xf>
    <xf numFmtId="0" fontId="20" fillId="8" borderId="41" xfId="5" applyFont="1" applyFill="1" applyBorder="1" applyAlignment="1">
      <alignment horizontal="center" vertical="center"/>
    </xf>
    <xf numFmtId="0" fontId="20" fillId="8" borderId="41" xfId="5" applyFont="1" applyFill="1" applyBorder="1" applyAlignment="1">
      <alignment horizontal="center" vertical="center" wrapText="1"/>
    </xf>
    <xf numFmtId="0" fontId="20" fillId="8" borderId="41" xfId="5" applyFont="1" applyFill="1" applyBorder="1" applyAlignment="1">
      <alignment vertical="center"/>
    </xf>
    <xf numFmtId="4" fontId="20" fillId="8" borderId="41" xfId="5" applyNumberFormat="1" applyFont="1" applyFill="1" applyBorder="1" applyAlignment="1">
      <alignment horizontal="center" vertical="center"/>
    </xf>
    <xf numFmtId="4" fontId="1" fillId="0" borderId="41" xfId="0" applyNumberFormat="1" applyFont="1" applyBorder="1" applyAlignment="1">
      <alignment horizontal="center" vertical="center"/>
    </xf>
    <xf numFmtId="4" fontId="1" fillId="5" borderId="41" xfId="5" applyNumberFormat="1" applyFont="1" applyFill="1" applyBorder="1" applyAlignment="1">
      <alignment horizontal="center" vertical="center" wrapText="1"/>
    </xf>
    <xf numFmtId="3" fontId="20" fillId="8" borderId="41" xfId="5" applyNumberFormat="1" applyFont="1" applyFill="1" applyBorder="1" applyAlignment="1">
      <alignment horizontal="center" vertical="center"/>
    </xf>
    <xf numFmtId="2" fontId="1" fillId="0" borderId="41" xfId="0" applyNumberFormat="1" applyFont="1" applyBorder="1" applyAlignment="1">
      <alignment horizontal="center" vertical="center"/>
    </xf>
    <xf numFmtId="3" fontId="1" fillId="0" borderId="41" xfId="5" applyNumberFormat="1" applyFont="1" applyBorder="1" applyAlignment="1">
      <alignment horizontal="center" vertical="center"/>
    </xf>
    <xf numFmtId="4" fontId="20" fillId="4" borderId="41" xfId="5" applyNumberFormat="1" applyFont="1" applyFill="1" applyBorder="1" applyAlignment="1">
      <alignment horizontal="center" vertical="center" wrapText="1"/>
    </xf>
    <xf numFmtId="2" fontId="20" fillId="8" borderId="41" xfId="5" applyNumberFormat="1" applyFont="1" applyFill="1" applyBorder="1" applyAlignment="1">
      <alignment vertical="center"/>
    </xf>
    <xf numFmtId="4" fontId="20" fillId="8" borderId="41" xfId="5" applyNumberFormat="1" applyFont="1" applyFill="1" applyBorder="1" applyAlignment="1">
      <alignment vertical="center"/>
    </xf>
    <xf numFmtId="0" fontId="1" fillId="5" borderId="41" xfId="0" applyFont="1" applyFill="1" applyBorder="1" applyAlignment="1">
      <alignment horizontal="center" vertical="center"/>
    </xf>
    <xf numFmtId="1" fontId="20" fillId="8" borderId="41" xfId="5" applyNumberFormat="1" applyFont="1" applyFill="1" applyBorder="1" applyAlignment="1">
      <alignment horizontal="center" vertical="center"/>
    </xf>
    <xf numFmtId="0" fontId="1" fillId="0" borderId="44" xfId="5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20" fillId="0" borderId="43" xfId="5" applyFont="1" applyBorder="1" applyAlignment="1">
      <alignment horizontal="center" vertical="center"/>
    </xf>
    <xf numFmtId="49" fontId="20" fillId="0" borderId="43" xfId="5" applyNumberFormat="1" applyFont="1" applyBorder="1" applyAlignment="1">
      <alignment horizontal="left" vertical="center" wrapText="1"/>
    </xf>
    <xf numFmtId="2" fontId="20" fillId="8" borderId="41" xfId="5" applyNumberFormat="1" applyFont="1" applyFill="1" applyBorder="1" applyAlignment="1">
      <alignment horizontal="center" vertical="center"/>
    </xf>
    <xf numFmtId="0" fontId="1" fillId="0" borderId="43" xfId="5" applyFont="1" applyBorder="1" applyAlignment="1">
      <alignment horizontal="center" vertical="center"/>
    </xf>
    <xf numFmtId="4" fontId="20" fillId="8" borderId="41" xfId="5" applyNumberFormat="1" applyFont="1" applyFill="1" applyBorder="1" applyAlignment="1">
      <alignment horizontal="left" vertical="center"/>
    </xf>
    <xf numFmtId="2" fontId="20" fillId="8" borderId="41" xfId="5" applyNumberFormat="1" applyFont="1" applyFill="1" applyBorder="1" applyAlignment="1">
      <alignment horizontal="left" vertical="center"/>
    </xf>
    <xf numFmtId="0" fontId="20" fillId="8" borderId="41" xfId="5" applyFont="1" applyFill="1" applyBorder="1" applyAlignment="1">
      <alignment horizontal="left" vertical="center"/>
    </xf>
    <xf numFmtId="4" fontId="1" fillId="0" borderId="41" xfId="5" applyNumberFormat="1" applyFont="1" applyBorder="1" applyAlignment="1">
      <alignment horizontal="center" vertical="center"/>
    </xf>
    <xf numFmtId="2" fontId="1" fillId="0" borderId="41" xfId="5" applyNumberFormat="1" applyFont="1" applyBorder="1" applyAlignment="1">
      <alignment horizontal="center" vertical="center"/>
    </xf>
    <xf numFmtId="4" fontId="20" fillId="0" borderId="41" xfId="5" applyNumberFormat="1" applyFont="1" applyBorder="1" applyAlignment="1">
      <alignment horizontal="left" vertical="center"/>
    </xf>
    <xf numFmtId="165" fontId="1" fillId="0" borderId="41" xfId="5" applyNumberFormat="1" applyFont="1" applyBorder="1" applyAlignment="1">
      <alignment horizontal="center" vertical="center"/>
    </xf>
    <xf numFmtId="0" fontId="20" fillId="5" borderId="41" xfId="5" applyFont="1" applyFill="1" applyBorder="1" applyAlignment="1">
      <alignment horizontal="center" vertical="center"/>
    </xf>
    <xf numFmtId="0" fontId="20" fillId="5" borderId="41" xfId="5" applyFont="1" applyFill="1" applyBorder="1" applyAlignment="1">
      <alignment horizontal="center" vertical="center" wrapText="1"/>
    </xf>
    <xf numFmtId="4" fontId="20" fillId="5" borderId="41" xfId="5" applyNumberFormat="1" applyFont="1" applyFill="1" applyBorder="1" applyAlignment="1">
      <alignment horizontal="center" vertical="center"/>
    </xf>
    <xf numFmtId="2" fontId="20" fillId="5" borderId="41" xfId="5" applyNumberFormat="1" applyFont="1" applyFill="1" applyBorder="1" applyAlignment="1">
      <alignment vertical="center"/>
    </xf>
    <xf numFmtId="4" fontId="20" fillId="5" borderId="41" xfId="5" applyNumberFormat="1" applyFont="1" applyFill="1" applyBorder="1" applyAlignment="1">
      <alignment vertical="center"/>
    </xf>
    <xf numFmtId="0" fontId="20" fillId="5" borderId="41" xfId="5" applyFont="1" applyFill="1" applyBorder="1" applyAlignment="1">
      <alignment vertical="center"/>
    </xf>
    <xf numFmtId="164" fontId="0" fillId="0" borderId="41" xfId="8" applyFont="1" applyFill="1" applyBorder="1" applyAlignment="1" applyProtection="1">
      <alignment horizontal="center" vertical="center"/>
    </xf>
    <xf numFmtId="0" fontId="20" fillId="0" borderId="41" xfId="5" applyFont="1" applyBorder="1" applyAlignment="1">
      <alignment vertical="center"/>
    </xf>
    <xf numFmtId="0" fontId="21" fillId="0" borderId="41" xfId="0" applyFont="1" applyBorder="1" applyAlignment="1">
      <alignment vertical="center"/>
    </xf>
    <xf numFmtId="164" fontId="14" fillId="0" borderId="41" xfId="8" applyFont="1" applyFill="1" applyBorder="1" applyAlignment="1" applyProtection="1">
      <alignment vertical="center"/>
    </xf>
    <xf numFmtId="4" fontId="1" fillId="0" borderId="41" xfId="5" applyNumberFormat="1" applyFont="1" applyBorder="1" applyAlignment="1">
      <alignment horizontal="center" vertical="center" wrapText="1"/>
    </xf>
    <xf numFmtId="164" fontId="14" fillId="0" borderId="41" xfId="8" applyFont="1" applyFill="1" applyBorder="1" applyAlignment="1" applyProtection="1">
      <alignment horizontal="center" vertical="center"/>
    </xf>
    <xf numFmtId="2" fontId="20" fillId="4" borderId="41" xfId="5" applyNumberFormat="1" applyFont="1" applyFill="1" applyBorder="1" applyAlignment="1">
      <alignment horizontal="center" vertical="center" wrapText="1"/>
    </xf>
    <xf numFmtId="0" fontId="1" fillId="5" borderId="43" xfId="5" applyFont="1" applyFill="1" applyBorder="1" applyAlignment="1">
      <alignment horizontal="left" vertical="center"/>
    </xf>
    <xf numFmtId="2" fontId="1" fillId="5" borderId="41" xfId="5" applyNumberFormat="1" applyFont="1" applyFill="1" applyBorder="1" applyAlignment="1">
      <alignment vertical="center"/>
    </xf>
    <xf numFmtId="4" fontId="1" fillId="5" borderId="41" xfId="5" applyNumberFormat="1" applyFont="1" applyFill="1" applyBorder="1" applyAlignment="1">
      <alignment vertical="center"/>
    </xf>
    <xf numFmtId="0" fontId="1" fillId="5" borderId="41" xfId="5" applyFont="1" applyFill="1" applyBorder="1" applyAlignment="1">
      <alignment vertical="center"/>
    </xf>
    <xf numFmtId="4" fontId="20" fillId="0" borderId="41" xfId="5" applyNumberFormat="1" applyFont="1" applyBorder="1" applyAlignment="1">
      <alignment horizontal="center" vertical="center"/>
    </xf>
    <xf numFmtId="4" fontId="21" fillId="0" borderId="41" xfId="5" applyNumberFormat="1" applyFont="1" applyBorder="1" applyAlignment="1">
      <alignment horizontal="center" vertical="center"/>
    </xf>
    <xf numFmtId="165" fontId="0" fillId="0" borderId="41" xfId="8" applyNumberFormat="1" applyFont="1" applyFill="1" applyBorder="1" applyAlignment="1" applyProtection="1">
      <alignment horizontal="center" vertical="center"/>
    </xf>
    <xf numFmtId="0" fontId="1" fillId="0" borderId="41" xfId="5" applyFont="1" applyBorder="1" applyAlignment="1">
      <alignment vertical="center"/>
    </xf>
    <xf numFmtId="0" fontId="20" fillId="8" borderId="41" xfId="0" applyFont="1" applyFill="1" applyBorder="1" applyAlignment="1">
      <alignment horizontal="center" vertical="center"/>
    </xf>
    <xf numFmtId="0" fontId="1" fillId="0" borderId="41" xfId="6" applyFont="1" applyBorder="1" applyAlignment="1">
      <alignment horizontal="center" vertical="center"/>
    </xf>
    <xf numFmtId="4" fontId="1" fillId="0" borderId="41" xfId="5" applyNumberFormat="1" applyFont="1" applyBorder="1" applyAlignment="1">
      <alignment vertical="center" wrapText="1"/>
    </xf>
    <xf numFmtId="2" fontId="1" fillId="0" borderId="41" xfId="6" applyNumberFormat="1" applyFont="1" applyBorder="1" applyAlignment="1">
      <alignment horizontal="center" vertical="center"/>
    </xf>
    <xf numFmtId="4" fontId="47" fillId="8" borderId="41" xfId="5" applyNumberFormat="1" applyFont="1" applyFill="1" applyBorder="1" applyAlignment="1">
      <alignment horizontal="center" vertical="center"/>
    </xf>
    <xf numFmtId="0" fontId="48" fillId="0" borderId="41" xfId="6" applyFont="1" applyBorder="1" applyAlignment="1">
      <alignment horizontal="center" vertical="center"/>
    </xf>
    <xf numFmtId="4" fontId="49" fillId="0" borderId="41" xfId="5" applyNumberFormat="1" applyFont="1" applyBorder="1" applyAlignment="1">
      <alignment horizontal="center" vertical="center"/>
    </xf>
    <xf numFmtId="4" fontId="48" fillId="0" borderId="41" xfId="5" applyNumberFormat="1" applyFont="1" applyBorder="1" applyAlignment="1">
      <alignment horizontal="center" vertical="center"/>
    </xf>
    <xf numFmtId="0" fontId="47" fillId="4" borderId="41" xfId="5" applyFont="1" applyFill="1" applyBorder="1" applyAlignment="1">
      <alignment horizontal="center" vertical="center" wrapText="1"/>
    </xf>
    <xf numFmtId="0" fontId="47" fillId="4" borderId="44" xfId="5" applyFont="1" applyFill="1" applyBorder="1" applyAlignment="1">
      <alignment horizontal="center" vertical="center" wrapText="1"/>
    </xf>
    <xf numFmtId="0" fontId="47" fillId="8" borderId="41" xfId="0" applyFont="1" applyFill="1" applyBorder="1" applyAlignment="1">
      <alignment horizontal="center" vertical="center"/>
    </xf>
    <xf numFmtId="3" fontId="47" fillId="8" borderId="41" xfId="5" applyNumberFormat="1" applyFont="1" applyFill="1" applyBorder="1" applyAlignment="1">
      <alignment horizontal="center" vertical="center"/>
    </xf>
    <xf numFmtId="0" fontId="48" fillId="0" borderId="41" xfId="0" applyFont="1" applyBorder="1" applyAlignment="1">
      <alignment horizontal="center" vertical="center"/>
    </xf>
    <xf numFmtId="3" fontId="48" fillId="0" borderId="41" xfId="5" applyNumberFormat="1" applyFont="1" applyBorder="1" applyAlignment="1">
      <alignment horizontal="center" vertical="center"/>
    </xf>
    <xf numFmtId="0" fontId="1" fillId="0" borderId="43" xfId="5" applyFont="1" applyBorder="1" applyAlignment="1">
      <alignment horizontal="left" vertical="center" wrapText="1"/>
    </xf>
    <xf numFmtId="0" fontId="20" fillId="0" borderId="44" xfId="5" applyFont="1" applyBorder="1" applyAlignment="1">
      <alignment horizontal="center" vertical="center"/>
    </xf>
    <xf numFmtId="2" fontId="1" fillId="5" borderId="41" xfId="0" applyNumberFormat="1" applyFont="1" applyFill="1" applyBorder="1" applyAlignment="1">
      <alignment horizontal="center" vertical="center"/>
    </xf>
    <xf numFmtId="0" fontId="48" fillId="5" borderId="41" xfId="0" applyFont="1" applyFill="1" applyBorder="1" applyAlignment="1">
      <alignment horizontal="center" vertical="center"/>
    </xf>
    <xf numFmtId="2" fontId="21" fillId="5" borderId="41" xfId="5" applyNumberFormat="1" applyFont="1" applyFill="1" applyBorder="1" applyAlignment="1">
      <alignment horizontal="center" vertical="center"/>
    </xf>
    <xf numFmtId="4" fontId="48" fillId="5" borderId="41" xfId="5" applyNumberFormat="1" applyFont="1" applyFill="1" applyBorder="1" applyAlignment="1">
      <alignment horizontal="center" vertical="center"/>
    </xf>
    <xf numFmtId="0" fontId="1" fillId="5" borderId="43" xfId="5" applyFont="1" applyFill="1" applyBorder="1" applyAlignment="1">
      <alignment horizontal="center" vertical="center"/>
    </xf>
    <xf numFmtId="2" fontId="21" fillId="0" borderId="41" xfId="5" applyNumberFormat="1" applyFont="1" applyBorder="1" applyAlignment="1">
      <alignment horizontal="center" vertical="center"/>
    </xf>
    <xf numFmtId="0" fontId="48" fillId="5" borderId="41" xfId="5" applyFont="1" applyFill="1" applyBorder="1" applyAlignment="1">
      <alignment horizontal="center" vertical="center"/>
    </xf>
    <xf numFmtId="0" fontId="19" fillId="5" borderId="41" xfId="0" applyFont="1" applyFill="1" applyBorder="1" applyAlignment="1">
      <alignment horizontal="center" vertical="center"/>
    </xf>
    <xf numFmtId="2" fontId="1" fillId="5" borderId="41" xfId="5" applyNumberFormat="1" applyFont="1" applyFill="1" applyBorder="1" applyAlignment="1">
      <alignment horizontal="center" vertical="center"/>
    </xf>
    <xf numFmtId="2" fontId="19" fillId="5" borderId="41" xfId="0" applyNumberFormat="1" applyFont="1" applyFill="1" applyBorder="1" applyAlignment="1">
      <alignment horizontal="center" vertical="center"/>
    </xf>
    <xf numFmtId="0" fontId="20" fillId="5" borderId="44" xfId="5" applyFont="1" applyFill="1" applyBorder="1" applyAlignment="1">
      <alignment horizontal="center" vertical="center" wrapText="1"/>
    </xf>
    <xf numFmtId="0" fontId="1" fillId="0" borderId="41" xfId="5" applyFont="1" applyBorder="1" applyAlignment="1">
      <alignment horizontal="center" vertical="center" wrapText="1"/>
    </xf>
    <xf numFmtId="2" fontId="1" fillId="0" borderId="41" xfId="5" applyNumberFormat="1" applyFont="1" applyBorder="1" applyAlignment="1">
      <alignment horizontal="center" vertical="center" wrapText="1"/>
    </xf>
    <xf numFmtId="0" fontId="1" fillId="0" borderId="43" xfId="5" applyFont="1" applyBorder="1" applyAlignment="1">
      <alignment horizontal="left" vertical="center"/>
    </xf>
    <xf numFmtId="4" fontId="20" fillId="8" borderId="41" xfId="5" applyNumberFormat="1" applyFont="1" applyFill="1" applyBorder="1" applyAlignment="1">
      <alignment horizontal="center" vertical="center" wrapText="1"/>
    </xf>
    <xf numFmtId="4" fontId="20" fillId="8" borderId="41" xfId="0" applyNumberFormat="1" applyFont="1" applyFill="1" applyBorder="1" applyAlignment="1">
      <alignment horizontal="center" vertical="center"/>
    </xf>
    <xf numFmtId="4" fontId="1" fillId="5" borderId="41" xfId="6" applyNumberFormat="1" applyFont="1" applyFill="1" applyBorder="1" applyAlignment="1">
      <alignment horizontal="center" vertical="center"/>
    </xf>
    <xf numFmtId="4" fontId="1" fillId="5" borderId="41" xfId="0" applyNumberFormat="1" applyFont="1" applyFill="1" applyBorder="1" applyAlignment="1">
      <alignment horizontal="center" vertical="center"/>
    </xf>
    <xf numFmtId="2" fontId="1" fillId="5" borderId="41" xfId="5" applyNumberFormat="1" applyFont="1" applyFill="1" applyBorder="1" applyAlignment="1">
      <alignment horizontal="center" vertical="center" wrapText="1"/>
    </xf>
    <xf numFmtId="0" fontId="1" fillId="5" borderId="44" xfId="5" applyFont="1" applyFill="1" applyBorder="1" applyAlignment="1">
      <alignment horizontal="center" vertical="center"/>
    </xf>
    <xf numFmtId="0" fontId="48" fillId="5" borderId="41" xfId="6" applyFont="1" applyFill="1" applyBorder="1" applyAlignment="1">
      <alignment horizontal="center" vertical="center"/>
    </xf>
    <xf numFmtId="2" fontId="49" fillId="5" borderId="41" xfId="5" applyNumberFormat="1" applyFont="1" applyFill="1" applyBorder="1" applyAlignment="1">
      <alignment horizontal="center" vertical="center"/>
    </xf>
    <xf numFmtId="4" fontId="48" fillId="5" borderId="41" xfId="5" applyNumberFormat="1" applyFont="1" applyFill="1" applyBorder="1" applyAlignment="1">
      <alignment horizontal="center" vertical="center" wrapText="1"/>
    </xf>
    <xf numFmtId="0" fontId="48" fillId="0" borderId="41" xfId="5" applyFont="1" applyBorder="1" applyAlignment="1">
      <alignment horizontal="center" vertical="center"/>
    </xf>
    <xf numFmtId="1" fontId="47" fillId="8" borderId="41" xfId="5" applyNumberFormat="1" applyFont="1" applyFill="1" applyBorder="1" applyAlignment="1">
      <alignment horizontal="center" vertical="center"/>
    </xf>
    <xf numFmtId="2" fontId="48" fillId="5" borderId="41" xfId="5" applyNumberFormat="1" applyFont="1" applyFill="1" applyBorder="1" applyAlignment="1">
      <alignment horizontal="center" vertical="center" wrapText="1"/>
    </xf>
    <xf numFmtId="0" fontId="47" fillId="4" borderId="41" xfId="5" applyFont="1" applyFill="1" applyBorder="1" applyAlignment="1">
      <alignment horizontal="center" vertical="center"/>
    </xf>
    <xf numFmtId="0" fontId="22" fillId="5" borderId="41" xfId="5" applyFont="1" applyFill="1" applyBorder="1" applyAlignment="1">
      <alignment horizontal="center" vertical="center"/>
    </xf>
    <xf numFmtId="3" fontId="1" fillId="5" borderId="41" xfId="5" applyNumberFormat="1" applyFont="1" applyFill="1" applyBorder="1" applyAlignment="1">
      <alignment horizontal="center" vertical="center"/>
    </xf>
    <xf numFmtId="49" fontId="20" fillId="8" borderId="41" xfId="5" applyNumberFormat="1" applyFont="1" applyFill="1" applyBorder="1" applyAlignment="1">
      <alignment horizontal="center" vertical="center"/>
    </xf>
    <xf numFmtId="0" fontId="20" fillId="5" borderId="41" xfId="0" applyFont="1" applyFill="1" applyBorder="1" applyAlignment="1">
      <alignment horizontal="center" vertical="center"/>
    </xf>
    <xf numFmtId="49" fontId="20" fillId="0" borderId="41" xfId="5" applyNumberFormat="1" applyFont="1" applyBorder="1" applyAlignment="1">
      <alignment vertical="center" wrapText="1"/>
    </xf>
    <xf numFmtId="0" fontId="1" fillId="5" borderId="43" xfId="5" applyFont="1" applyFill="1" applyBorder="1" applyAlignment="1">
      <alignment horizontal="left" vertical="center" wrapText="1"/>
    </xf>
    <xf numFmtId="0" fontId="20" fillId="0" borderId="41" xfId="5" applyFont="1" applyBorder="1" applyAlignment="1">
      <alignment vertical="center" wrapText="1"/>
    </xf>
    <xf numFmtId="0" fontId="1" fillId="0" borderId="41" xfId="0" applyFont="1" applyBorder="1" applyAlignment="1">
      <alignment horizontal="center" vertical="center" wrapText="1"/>
    </xf>
    <xf numFmtId="49" fontId="1" fillId="5" borderId="43" xfId="5" applyNumberFormat="1" applyFont="1" applyFill="1" applyBorder="1" applyAlignment="1">
      <alignment horizontal="left" vertical="center" wrapText="1"/>
    </xf>
    <xf numFmtId="1" fontId="19" fillId="5" borderId="41" xfId="5" applyNumberFormat="1" applyFont="1" applyFill="1" applyBorder="1" applyAlignment="1">
      <alignment horizontal="center" vertical="center"/>
    </xf>
    <xf numFmtId="0" fontId="20" fillId="0" borderId="41" xfId="0" applyFont="1" applyBorder="1" applyAlignment="1">
      <alignment horizontal="center" vertical="center"/>
    </xf>
    <xf numFmtId="3" fontId="20" fillId="0" borderId="41" xfId="5" applyNumberFormat="1" applyFont="1" applyBorder="1" applyAlignment="1">
      <alignment horizontal="center" vertical="center"/>
    </xf>
    <xf numFmtId="4" fontId="1" fillId="0" borderId="44" xfId="5" applyNumberFormat="1" applyFont="1" applyBorder="1" applyAlignment="1">
      <alignment horizontal="center" vertical="center" wrapText="1"/>
    </xf>
    <xf numFmtId="3" fontId="20" fillId="8" borderId="41" xfId="5" applyNumberFormat="1" applyFont="1" applyFill="1" applyBorder="1" applyAlignment="1">
      <alignment horizontal="left" vertical="center"/>
    </xf>
    <xf numFmtId="3" fontId="1" fillId="5" borderId="41" xfId="5" applyNumberFormat="1" applyFont="1" applyFill="1" applyBorder="1" applyAlignment="1">
      <alignment vertical="center"/>
    </xf>
    <xf numFmtId="0" fontId="20" fillId="0" borderId="43" xfId="5" applyFont="1" applyBorder="1" applyAlignment="1">
      <alignment vertical="center"/>
    </xf>
    <xf numFmtId="40" fontId="34" fillId="0" borderId="44" xfId="0" applyNumberFormat="1" applyFont="1" applyBorder="1"/>
    <xf numFmtId="40" fontId="34" fillId="5" borderId="44" xfId="0" applyNumberFormat="1" applyFont="1" applyFill="1" applyBorder="1"/>
    <xf numFmtId="40" fontId="33" fillId="4" borderId="41" xfId="0" applyNumberFormat="1" applyFont="1" applyFill="1" applyBorder="1"/>
    <xf numFmtId="9" fontId="33" fillId="4" borderId="41" xfId="0" applyNumberFormat="1" applyFont="1" applyFill="1" applyBorder="1"/>
    <xf numFmtId="4" fontId="33" fillId="4" borderId="41" xfId="0" applyNumberFormat="1" applyFont="1" applyFill="1" applyBorder="1" applyAlignment="1">
      <alignment horizontal="right"/>
    </xf>
    <xf numFmtId="0" fontId="3" fillId="0" borderId="41" xfId="0" applyFont="1" applyBorder="1" applyAlignment="1">
      <alignment horizontal="center" vertical="center" wrapText="1"/>
    </xf>
    <xf numFmtId="0" fontId="3" fillId="5" borderId="41" xfId="0" applyFont="1" applyFill="1" applyBorder="1" applyAlignment="1">
      <alignment horizontal="center" vertical="center" wrapText="1"/>
    </xf>
    <xf numFmtId="0" fontId="3" fillId="5" borderId="41" xfId="0" applyFont="1" applyFill="1" applyBorder="1" applyAlignment="1">
      <alignment horizontal="left" vertical="center" wrapText="1"/>
    </xf>
    <xf numFmtId="0" fontId="4" fillId="5" borderId="41" xfId="0" applyFont="1" applyFill="1" applyBorder="1" applyAlignment="1">
      <alignment vertical="center" wrapText="1"/>
    </xf>
    <xf numFmtId="165" fontId="4" fillId="5" borderId="41" xfId="4" applyNumberFormat="1" applyFont="1" applyFill="1" applyBorder="1" applyAlignment="1">
      <alignment horizontal="center" vertical="center" wrapText="1"/>
    </xf>
    <xf numFmtId="2" fontId="3" fillId="5" borderId="41" xfId="0" applyNumberFormat="1" applyFont="1" applyFill="1" applyBorder="1" applyAlignment="1">
      <alignment horizontal="center" vertical="center" wrapText="1"/>
    </xf>
    <xf numFmtId="170" fontId="3" fillId="5" borderId="41" xfId="4" applyFont="1" applyFill="1" applyBorder="1" applyAlignment="1">
      <alignment horizontal="center" vertical="center" wrapText="1"/>
    </xf>
    <xf numFmtId="2" fontId="4" fillId="5" borderId="41" xfId="0" applyNumberFormat="1" applyFont="1" applyFill="1" applyBorder="1" applyAlignment="1">
      <alignment horizontal="center" vertical="center" wrapText="1"/>
    </xf>
    <xf numFmtId="2" fontId="4" fillId="5" borderId="41" xfId="4" applyNumberFormat="1" applyFont="1" applyFill="1" applyBorder="1" applyAlignment="1">
      <alignment horizontal="center" vertical="center" wrapText="1"/>
    </xf>
    <xf numFmtId="169" fontId="4" fillId="5" borderId="41" xfId="2" applyNumberFormat="1" applyFont="1" applyFill="1" applyBorder="1" applyAlignment="1">
      <alignment horizontal="center" vertical="center" wrapText="1"/>
    </xf>
    <xf numFmtId="170" fontId="4" fillId="5" borderId="41" xfId="4" applyFont="1" applyFill="1" applyBorder="1" applyAlignment="1">
      <alignment horizontal="center" vertical="center" wrapText="1"/>
    </xf>
    <xf numFmtId="1" fontId="4" fillId="5" borderId="41" xfId="0" applyNumberFormat="1" applyFont="1" applyFill="1" applyBorder="1" applyAlignment="1">
      <alignment horizontal="center" vertical="center" wrapText="1"/>
    </xf>
    <xf numFmtId="0" fontId="3" fillId="5" borderId="44" xfId="0" applyFont="1" applyFill="1" applyBorder="1" applyAlignment="1">
      <alignment horizontal="center" vertical="center" wrapText="1"/>
    </xf>
    <xf numFmtId="0" fontId="4" fillId="5" borderId="41" xfId="0" applyFont="1" applyFill="1" applyBorder="1" applyAlignment="1">
      <alignment horizontal="center" vertical="center"/>
    </xf>
    <xf numFmtId="169" fontId="4" fillId="5" borderId="41" xfId="1" applyNumberFormat="1" applyFont="1" applyFill="1" applyBorder="1" applyAlignment="1">
      <alignment horizontal="center" vertical="center" wrapText="1"/>
    </xf>
    <xf numFmtId="0" fontId="4" fillId="5" borderId="41" xfId="0" applyFont="1" applyFill="1" applyBorder="1" applyAlignment="1">
      <alignment vertical="top" wrapText="1"/>
    </xf>
    <xf numFmtId="1" fontId="4" fillId="0" borderId="41" xfId="0" applyNumberFormat="1" applyFont="1" applyBorder="1" applyAlignment="1">
      <alignment horizontal="center" vertical="center" wrapText="1"/>
    </xf>
    <xf numFmtId="0" fontId="51" fillId="5" borderId="41" xfId="0" applyFont="1" applyFill="1" applyBorder="1" applyAlignment="1">
      <alignment horizontal="center" vertical="center" wrapText="1"/>
    </xf>
    <xf numFmtId="0" fontId="46" fillId="5" borderId="41" xfId="0" applyFont="1" applyFill="1" applyBorder="1" applyAlignment="1">
      <alignment horizontal="center" vertical="center" wrapText="1"/>
    </xf>
    <xf numFmtId="0" fontId="46" fillId="5" borderId="41" xfId="0" applyFont="1" applyFill="1" applyBorder="1" applyAlignment="1">
      <alignment vertical="center" wrapText="1"/>
    </xf>
    <xf numFmtId="0" fontId="46" fillId="5" borderId="41" xfId="0" applyFont="1" applyFill="1" applyBorder="1" applyAlignment="1">
      <alignment horizontal="center" vertical="center"/>
    </xf>
    <xf numFmtId="165" fontId="46" fillId="5" borderId="41" xfId="0" applyNumberFormat="1" applyFont="1" applyFill="1" applyBorder="1" applyAlignment="1">
      <alignment horizontal="center" vertical="center" wrapText="1"/>
    </xf>
    <xf numFmtId="165" fontId="46" fillId="5" borderId="41" xfId="4" applyNumberFormat="1" applyFont="1" applyFill="1" applyBorder="1" applyAlignment="1">
      <alignment horizontal="center" vertical="center" wrapText="1"/>
    </xf>
    <xf numFmtId="2" fontId="51" fillId="5" borderId="41" xfId="0" applyNumberFormat="1" applyFont="1" applyFill="1" applyBorder="1" applyAlignment="1">
      <alignment horizontal="center" vertical="center" wrapText="1"/>
    </xf>
    <xf numFmtId="170" fontId="51" fillId="5" borderId="41" xfId="4" applyFont="1" applyFill="1" applyBorder="1" applyAlignment="1">
      <alignment horizontal="center" vertical="center" wrapText="1"/>
    </xf>
    <xf numFmtId="2" fontId="46" fillId="5" borderId="41" xfId="0" applyNumberFormat="1" applyFont="1" applyFill="1" applyBorder="1" applyAlignment="1">
      <alignment horizontal="center" vertical="center" wrapText="1"/>
    </xf>
    <xf numFmtId="2" fontId="46" fillId="5" borderId="41" xfId="4" applyNumberFormat="1" applyFont="1" applyFill="1" applyBorder="1" applyAlignment="1">
      <alignment horizontal="center" vertical="center" wrapText="1"/>
    </xf>
    <xf numFmtId="1" fontId="46" fillId="5" borderId="41" xfId="0" applyNumberFormat="1" applyFont="1" applyFill="1" applyBorder="1" applyAlignment="1">
      <alignment horizontal="center" vertical="center" wrapText="1"/>
    </xf>
    <xf numFmtId="0" fontId="3" fillId="5" borderId="44" xfId="0" applyFont="1" applyFill="1" applyBorder="1" applyAlignment="1">
      <alignment horizontal="left" vertical="center" wrapText="1"/>
    </xf>
    <xf numFmtId="0" fontId="4" fillId="5" borderId="44" xfId="0" applyFont="1" applyFill="1" applyBorder="1" applyAlignment="1">
      <alignment horizontal="left" vertical="center" wrapText="1"/>
    </xf>
    <xf numFmtId="169" fontId="3" fillId="5" borderId="41" xfId="1" applyNumberFormat="1" applyFont="1" applyFill="1" applyBorder="1" applyAlignment="1">
      <alignment horizontal="center" vertical="center" wrapText="1"/>
    </xf>
    <xf numFmtId="0" fontId="2" fillId="0" borderId="41" xfId="0" applyFont="1" applyBorder="1" applyAlignment="1">
      <alignment horizontal="center"/>
    </xf>
    <xf numFmtId="0" fontId="2" fillId="0" borderId="41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 wrapText="1"/>
    </xf>
    <xf numFmtId="0" fontId="0" fillId="0" borderId="41" xfId="0" applyBorder="1" applyAlignment="1">
      <alignment horizontal="center" vertical="center"/>
    </xf>
    <xf numFmtId="4" fontId="0" fillId="5" borderId="41" xfId="0" applyNumberFormat="1" applyFill="1" applyBorder="1"/>
    <xf numFmtId="4" fontId="0" fillId="5" borderId="41" xfId="0" applyNumberFormat="1" applyFill="1" applyBorder="1" applyAlignment="1">
      <alignment vertical="center"/>
    </xf>
    <xf numFmtId="0" fontId="0" fillId="0" borderId="41" xfId="0" applyBorder="1"/>
    <xf numFmtId="4" fontId="2" fillId="0" borderId="41" xfId="0" applyNumberFormat="1" applyFont="1" applyBorder="1"/>
    <xf numFmtId="0" fontId="2" fillId="0" borderId="44" xfId="0" applyFont="1" applyBorder="1" applyAlignment="1">
      <alignment horizontal="center" vertical="center" wrapText="1"/>
    </xf>
    <xf numFmtId="4" fontId="0" fillId="0" borderId="41" xfId="0" applyNumberFormat="1" applyBorder="1" applyAlignment="1">
      <alignment horizontal="center" vertical="center"/>
    </xf>
    <xf numFmtId="0" fontId="0" fillId="0" borderId="41" xfId="0" applyBorder="1" applyAlignment="1">
      <alignment horizontal="center"/>
    </xf>
    <xf numFmtId="4" fontId="2" fillId="0" borderId="41" xfId="0" applyNumberFormat="1" applyFont="1" applyBorder="1" applyAlignment="1">
      <alignment horizontal="center"/>
    </xf>
    <xf numFmtId="4" fontId="0" fillId="0" borderId="41" xfId="0" applyNumberFormat="1" applyBorder="1" applyAlignment="1">
      <alignment horizontal="center"/>
    </xf>
    <xf numFmtId="0" fontId="2" fillId="0" borderId="44" xfId="0" applyFont="1" applyBorder="1" applyAlignment="1">
      <alignment horizontal="center" wrapText="1"/>
    </xf>
    <xf numFmtId="0" fontId="2" fillId="0" borderId="43" xfId="0" applyFont="1" applyBorder="1"/>
    <xf numFmtId="2" fontId="2" fillId="0" borderId="41" xfId="0" applyNumberFormat="1" applyFont="1" applyBorder="1" applyAlignment="1">
      <alignment horizontal="center"/>
    </xf>
    <xf numFmtId="0" fontId="45" fillId="12" borderId="0" xfId="0" applyFont="1" applyFill="1" applyAlignment="1">
      <alignment wrapText="1"/>
    </xf>
    <xf numFmtId="169" fontId="46" fillId="10" borderId="41" xfId="1" applyNumberFormat="1" applyFont="1" applyFill="1" applyBorder="1" applyAlignment="1">
      <alignment horizontal="center" vertical="center" wrapText="1"/>
    </xf>
    <xf numFmtId="2" fontId="55" fillId="5" borderId="41" xfId="5" applyNumberFormat="1" applyFont="1" applyFill="1" applyBorder="1" applyAlignment="1">
      <alignment horizontal="center" vertical="center"/>
    </xf>
    <xf numFmtId="10" fontId="51" fillId="0" borderId="2" xfId="0" applyNumberFormat="1" applyFont="1" applyBorder="1" applyAlignment="1">
      <alignment vertical="center"/>
    </xf>
    <xf numFmtId="165" fontId="46" fillId="5" borderId="42" xfId="0" applyNumberFormat="1" applyFont="1" applyFill="1" applyBorder="1" applyAlignment="1">
      <alignment horizontal="right" vertical="center" wrapText="1"/>
    </xf>
    <xf numFmtId="0" fontId="5" fillId="0" borderId="33" xfId="0" applyFont="1" applyBorder="1" applyAlignment="1">
      <alignment horizontal="center" vertical="center"/>
    </xf>
    <xf numFmtId="0" fontId="5" fillId="5" borderId="33" xfId="0" applyFont="1" applyFill="1" applyBorder="1" applyAlignment="1">
      <alignment horizontal="center" vertical="center"/>
    </xf>
    <xf numFmtId="0" fontId="5" fillId="5" borderId="33" xfId="0" applyFont="1" applyFill="1" applyBorder="1" applyAlignment="1">
      <alignment horizontal="center" vertical="center" wrapText="1"/>
    </xf>
    <xf numFmtId="0" fontId="46" fillId="0" borderId="33" xfId="0" applyFont="1" applyBorder="1" applyAlignment="1">
      <alignment horizontal="center" vertical="center" wrapText="1"/>
    </xf>
    <xf numFmtId="0" fontId="46" fillId="5" borderId="33" xfId="0" applyFont="1" applyFill="1" applyBorder="1" applyAlignment="1">
      <alignment horizontal="center" vertical="center" wrapText="1"/>
    </xf>
    <xf numFmtId="165" fontId="46" fillId="5" borderId="33" xfId="0" applyNumberFormat="1" applyFont="1" applyFill="1" applyBorder="1" applyAlignment="1">
      <alignment horizontal="right" vertical="center" wrapText="1"/>
    </xf>
    <xf numFmtId="10" fontId="51" fillId="0" borderId="33" xfId="0" applyNumberFormat="1" applyFont="1" applyBorder="1" applyAlignment="1">
      <alignment vertical="center"/>
    </xf>
    <xf numFmtId="0" fontId="5" fillId="5" borderId="35" xfId="0" applyFont="1" applyFill="1" applyBorder="1" applyAlignment="1">
      <alignment horizontal="center" vertical="center" wrapText="1"/>
    </xf>
    <xf numFmtId="165" fontId="4" fillId="5" borderId="35" xfId="0" applyNumberFormat="1" applyFont="1" applyFill="1" applyBorder="1" applyAlignment="1">
      <alignment horizontal="right" vertical="center" wrapText="1"/>
    </xf>
    <xf numFmtId="165" fontId="5" fillId="5" borderId="35" xfId="0" applyNumberFormat="1" applyFont="1" applyFill="1" applyBorder="1" applyAlignment="1">
      <alignment horizontal="right" vertical="center" wrapText="1"/>
    </xf>
    <xf numFmtId="4" fontId="48" fillId="5" borderId="2" xfId="6" applyNumberFormat="1" applyFont="1" applyFill="1" applyBorder="1" applyAlignment="1">
      <alignment horizontal="center" vertical="center"/>
    </xf>
    <xf numFmtId="4" fontId="47" fillId="8" borderId="2" xfId="0" applyNumberFormat="1" applyFont="1" applyFill="1" applyBorder="1" applyAlignment="1">
      <alignment horizontal="center" vertical="center"/>
    </xf>
    <xf numFmtId="4" fontId="48" fillId="5" borderId="41" xfId="6" applyNumberFormat="1" applyFont="1" applyFill="1" applyBorder="1" applyAlignment="1">
      <alignment horizontal="center" vertical="center"/>
    </xf>
    <xf numFmtId="3" fontId="49" fillId="5" borderId="41" xfId="5" applyNumberFormat="1" applyFont="1" applyFill="1" applyBorder="1" applyAlignment="1">
      <alignment horizontal="center" vertical="center"/>
    </xf>
    <xf numFmtId="3" fontId="4" fillId="5" borderId="35" xfId="0" applyNumberFormat="1" applyFont="1" applyFill="1" applyBorder="1" applyAlignment="1">
      <alignment horizontal="center" vertical="center" wrapText="1"/>
    </xf>
    <xf numFmtId="0" fontId="4" fillId="4" borderId="50" xfId="0" applyFont="1" applyFill="1" applyBorder="1" applyAlignment="1">
      <alignment horizontal="center" vertical="center" wrapText="1"/>
    </xf>
    <xf numFmtId="4" fontId="55" fillId="0" borderId="41" xfId="5" applyNumberFormat="1" applyFont="1" applyBorder="1" applyAlignment="1">
      <alignment horizontal="center" vertical="center"/>
    </xf>
    <xf numFmtId="0" fontId="3" fillId="5" borderId="51" xfId="0" applyFont="1" applyFill="1" applyBorder="1" applyAlignment="1">
      <alignment horizontal="left" vertical="center" wrapText="1"/>
    </xf>
    <xf numFmtId="0" fontId="3" fillId="5" borderId="51" xfId="0" applyFont="1" applyFill="1" applyBorder="1" applyAlignment="1">
      <alignment horizontal="center" vertical="center" wrapText="1"/>
    </xf>
    <xf numFmtId="165" fontId="13" fillId="5" borderId="51" xfId="0" applyNumberFormat="1" applyFont="1" applyFill="1" applyBorder="1" applyAlignment="1">
      <alignment horizontal="center" vertical="center" wrapText="1"/>
    </xf>
    <xf numFmtId="168" fontId="3" fillId="5" borderId="51" xfId="0" applyNumberFormat="1" applyFont="1" applyFill="1" applyBorder="1" applyAlignment="1">
      <alignment horizontal="center" vertical="center" wrapText="1"/>
    </xf>
    <xf numFmtId="10" fontId="3" fillId="0" borderId="52" xfId="0" applyNumberFormat="1" applyFont="1" applyBorder="1" applyAlignment="1">
      <alignment vertical="center"/>
    </xf>
    <xf numFmtId="165" fontId="4" fillId="5" borderId="54" xfId="0" applyNumberFormat="1" applyFont="1" applyFill="1" applyBorder="1" applyAlignment="1">
      <alignment horizontal="right" vertical="center" wrapText="1"/>
    </xf>
    <xf numFmtId="0" fontId="4" fillId="5" borderId="53" xfId="0" applyFont="1" applyFill="1" applyBorder="1" applyAlignment="1">
      <alignment horizontal="center" vertical="center" wrapText="1"/>
    </xf>
    <xf numFmtId="165" fontId="4" fillId="5" borderId="53" xfId="0" applyNumberFormat="1" applyFont="1" applyFill="1" applyBorder="1" applyAlignment="1">
      <alignment horizontal="right" vertical="center" wrapText="1"/>
    </xf>
    <xf numFmtId="165" fontId="3" fillId="0" borderId="52" xfId="0" applyNumberFormat="1" applyFont="1" applyBorder="1" applyAlignment="1">
      <alignment vertical="center"/>
    </xf>
    <xf numFmtId="0" fontId="4" fillId="0" borderId="53" xfId="0" applyFont="1" applyBorder="1" applyAlignment="1">
      <alignment horizontal="center" vertical="center" wrapText="1"/>
    </xf>
    <xf numFmtId="10" fontId="3" fillId="0" borderId="53" xfId="0" applyNumberFormat="1" applyFont="1" applyBorder="1" applyAlignment="1">
      <alignment vertical="center"/>
    </xf>
    <xf numFmtId="0" fontId="4" fillId="0" borderId="55" xfId="0" applyFont="1" applyBorder="1" applyAlignment="1">
      <alignment horizontal="center" vertical="center" wrapText="1"/>
    </xf>
    <xf numFmtId="0" fontId="4" fillId="5" borderId="55" xfId="0" applyFont="1" applyFill="1" applyBorder="1" applyAlignment="1">
      <alignment horizontal="center" vertical="center" wrapText="1"/>
    </xf>
    <xf numFmtId="0" fontId="3" fillId="5" borderId="55" xfId="0" applyFont="1" applyFill="1" applyBorder="1" applyAlignment="1">
      <alignment horizontal="center" vertical="center" wrapText="1"/>
    </xf>
    <xf numFmtId="167" fontId="3" fillId="5" borderId="55" xfId="0" applyNumberFormat="1" applyFont="1" applyFill="1" applyBorder="1" applyAlignment="1">
      <alignment horizontal="center" vertical="center" wrapText="1"/>
    </xf>
    <xf numFmtId="165" fontId="4" fillId="5" borderId="55" xfId="0" applyNumberFormat="1" applyFont="1" applyFill="1" applyBorder="1" applyAlignment="1">
      <alignment horizontal="right" vertical="center" wrapText="1"/>
    </xf>
    <xf numFmtId="165" fontId="4" fillId="5" borderId="53" xfId="0" applyNumberFormat="1" applyFont="1" applyFill="1" applyBorder="1" applyAlignment="1">
      <alignment horizontal="center" vertical="center" wrapText="1"/>
    </xf>
    <xf numFmtId="165" fontId="5" fillId="5" borderId="51" xfId="0" applyNumberFormat="1" applyFont="1" applyFill="1" applyBorder="1" applyAlignment="1">
      <alignment horizontal="center" vertical="center" wrapText="1"/>
    </xf>
    <xf numFmtId="168" fontId="4" fillId="5" borderId="51" xfId="0" applyNumberFormat="1" applyFont="1" applyFill="1" applyBorder="1" applyAlignment="1">
      <alignment horizontal="center" vertical="center" wrapText="1"/>
    </xf>
    <xf numFmtId="0" fontId="4" fillId="5" borderId="51" xfId="0" applyFont="1" applyFill="1" applyBorder="1" applyAlignment="1">
      <alignment horizontal="center" vertical="center" wrapText="1"/>
    </xf>
    <xf numFmtId="0" fontId="5" fillId="0" borderId="54" xfId="6" applyFont="1" applyBorder="1" applyAlignment="1">
      <alignment horizontal="center" vertical="center" wrapText="1"/>
    </xf>
    <xf numFmtId="165" fontId="3" fillId="0" borderId="52" xfId="0" applyNumberFormat="1" applyFont="1" applyBorder="1" applyAlignment="1">
      <alignment vertical="center" wrapText="1"/>
    </xf>
    <xf numFmtId="165" fontId="4" fillId="5" borderId="54" xfId="6" applyNumberFormat="1" applyFont="1" applyFill="1" applyBorder="1" applyAlignment="1">
      <alignment horizontal="center" vertical="center" wrapText="1"/>
    </xf>
    <xf numFmtId="0" fontId="3" fillId="0" borderId="53" xfId="0" applyFont="1" applyBorder="1" applyAlignment="1">
      <alignment vertical="center"/>
    </xf>
    <xf numFmtId="4" fontId="1" fillId="5" borderId="53" xfId="5" applyNumberFormat="1" applyFont="1" applyFill="1" applyBorder="1" applyAlignment="1">
      <alignment horizontal="center" vertical="center"/>
    </xf>
    <xf numFmtId="4" fontId="1" fillId="5" borderId="52" xfId="5" applyNumberFormat="1" applyFont="1" applyFill="1" applyBorder="1" applyAlignment="1">
      <alignment horizontal="center" vertical="center" wrapText="1"/>
    </xf>
    <xf numFmtId="3" fontId="1" fillId="5" borderId="53" xfId="5" applyNumberFormat="1" applyFont="1" applyFill="1" applyBorder="1" applyAlignment="1">
      <alignment horizontal="center" vertical="center"/>
    </xf>
    <xf numFmtId="3" fontId="1" fillId="0" borderId="53" xfId="5" applyNumberFormat="1" applyFont="1" applyBorder="1" applyAlignment="1">
      <alignment horizontal="center" vertical="center"/>
    </xf>
    <xf numFmtId="4" fontId="1" fillId="0" borderId="53" xfId="5" applyNumberFormat="1" applyFont="1" applyBorder="1" applyAlignment="1">
      <alignment horizontal="center" vertical="center"/>
    </xf>
    <xf numFmtId="4" fontId="1" fillId="0" borderId="52" xfId="5" applyNumberFormat="1" applyFont="1" applyBorder="1" applyAlignment="1">
      <alignment horizontal="center" vertical="center" wrapText="1"/>
    </xf>
    <xf numFmtId="2" fontId="1" fillId="5" borderId="53" xfId="5" applyNumberFormat="1" applyFont="1" applyFill="1" applyBorder="1" applyAlignment="1">
      <alignment horizontal="center" vertical="center"/>
    </xf>
    <xf numFmtId="4" fontId="1" fillId="5" borderId="52" xfId="0" applyNumberFormat="1" applyFont="1" applyFill="1" applyBorder="1" applyAlignment="1">
      <alignment horizontal="center" vertical="center"/>
    </xf>
    <xf numFmtId="4" fontId="1" fillId="5" borderId="52" xfId="5" applyNumberFormat="1" applyFont="1" applyFill="1" applyBorder="1" applyAlignment="1">
      <alignment horizontal="center" vertical="center"/>
    </xf>
    <xf numFmtId="2" fontId="1" fillId="0" borderId="53" xfId="5" applyNumberFormat="1" applyFont="1" applyBorder="1" applyAlignment="1">
      <alignment horizontal="center" vertical="center"/>
    </xf>
    <xf numFmtId="4" fontId="1" fillId="0" borderId="52" xfId="0" applyNumberFormat="1" applyFont="1" applyBorder="1" applyAlignment="1">
      <alignment horizontal="center" vertical="center"/>
    </xf>
    <xf numFmtId="4" fontId="21" fillId="0" borderId="53" xfId="5" applyNumberFormat="1" applyFont="1" applyBorder="1" applyAlignment="1">
      <alignment horizontal="center" vertical="center"/>
    </xf>
    <xf numFmtId="2" fontId="1" fillId="0" borderId="53" xfId="5" applyNumberFormat="1" applyFont="1" applyBorder="1" applyAlignment="1">
      <alignment horizontal="right" vertical="center"/>
    </xf>
    <xf numFmtId="4" fontId="1" fillId="0" borderId="53" xfId="5" applyNumberFormat="1" applyFont="1" applyBorder="1" applyAlignment="1">
      <alignment horizontal="right" vertical="center"/>
    </xf>
    <xf numFmtId="165" fontId="1" fillId="5" borderId="53" xfId="5" applyNumberFormat="1" applyFont="1" applyFill="1" applyBorder="1" applyAlignment="1">
      <alignment horizontal="right" vertical="center"/>
    </xf>
    <xf numFmtId="165" fontId="1" fillId="5" borderId="53" xfId="5" applyNumberFormat="1" applyFont="1" applyFill="1" applyBorder="1" applyAlignment="1">
      <alignment horizontal="center" vertical="center"/>
    </xf>
    <xf numFmtId="165" fontId="1" fillId="5" borderId="52" xfId="5" applyNumberFormat="1" applyFont="1" applyFill="1" applyBorder="1" applyAlignment="1">
      <alignment horizontal="center" vertical="center" wrapText="1"/>
    </xf>
    <xf numFmtId="165" fontId="1" fillId="5" borderId="52" xfId="0" applyNumberFormat="1" applyFont="1" applyFill="1" applyBorder="1" applyAlignment="1">
      <alignment horizontal="center" vertical="center"/>
    </xf>
    <xf numFmtId="165" fontId="1" fillId="5" borderId="52" xfId="5" applyNumberFormat="1" applyFont="1" applyFill="1" applyBorder="1" applyAlignment="1">
      <alignment horizontal="right" vertical="center" wrapText="1"/>
    </xf>
    <xf numFmtId="4" fontId="21" fillId="5" borderId="53" xfId="5" applyNumberFormat="1" applyFont="1" applyFill="1" applyBorder="1" applyAlignment="1">
      <alignment horizontal="center" vertical="center"/>
    </xf>
    <xf numFmtId="165" fontId="1" fillId="0" borderId="52" xfId="0" applyNumberFormat="1" applyFont="1" applyBorder="1" applyAlignment="1">
      <alignment horizontal="center" vertical="center"/>
    </xf>
    <xf numFmtId="4" fontId="20" fillId="0" borderId="52" xfId="5" applyNumberFormat="1" applyFont="1" applyBorder="1" applyAlignment="1">
      <alignment horizontal="left" vertical="center"/>
    </xf>
    <xf numFmtId="0" fontId="20" fillId="0" borderId="52" xfId="5" applyFont="1" applyBorder="1" applyAlignment="1">
      <alignment horizontal="left" vertical="center"/>
    </xf>
    <xf numFmtId="4" fontId="20" fillId="0" borderId="52" xfId="5" applyNumberFormat="1" applyFont="1" applyBorder="1" applyAlignment="1">
      <alignment horizontal="center" vertical="center"/>
    </xf>
    <xf numFmtId="165" fontId="1" fillId="0" borderId="52" xfId="5" applyNumberFormat="1" applyFont="1" applyBorder="1" applyAlignment="1">
      <alignment horizontal="center" vertical="center" wrapText="1"/>
    </xf>
    <xf numFmtId="4" fontId="48" fillId="0" borderId="53" xfId="5" applyNumberFormat="1" applyFont="1" applyBorder="1" applyAlignment="1">
      <alignment horizontal="center" vertical="center"/>
    </xf>
    <xf numFmtId="4" fontId="48" fillId="0" borderId="52" xfId="5" applyNumberFormat="1" applyFont="1" applyBorder="1" applyAlignment="1">
      <alignment horizontal="center" vertical="center" wrapText="1"/>
    </xf>
    <xf numFmtId="4" fontId="48" fillId="5" borderId="53" xfId="5" applyNumberFormat="1" applyFont="1" applyFill="1" applyBorder="1" applyAlignment="1">
      <alignment horizontal="center" vertical="center"/>
    </xf>
    <xf numFmtId="4" fontId="48" fillId="5" borderId="52" xfId="5" applyNumberFormat="1" applyFont="1" applyFill="1" applyBorder="1" applyAlignment="1">
      <alignment horizontal="center" vertical="center" wrapText="1"/>
    </xf>
    <xf numFmtId="4" fontId="1" fillId="5" borderId="53" xfId="0" applyNumberFormat="1" applyFont="1" applyFill="1" applyBorder="1" applyAlignment="1">
      <alignment horizontal="center" vertical="center"/>
    </xf>
    <xf numFmtId="3" fontId="48" fillId="5" borderId="53" xfId="5" applyNumberFormat="1" applyFont="1" applyFill="1" applyBorder="1" applyAlignment="1">
      <alignment horizontal="center" vertical="center"/>
    </xf>
    <xf numFmtId="172" fontId="1" fillId="5" borderId="53" xfId="5" applyNumberFormat="1" applyFont="1" applyFill="1" applyBorder="1" applyAlignment="1">
      <alignment horizontal="center" vertical="center"/>
    </xf>
    <xf numFmtId="3" fontId="20" fillId="8" borderId="53" xfId="5" applyNumberFormat="1" applyFont="1" applyFill="1" applyBorder="1" applyAlignment="1">
      <alignment horizontal="center" vertical="center"/>
    </xf>
    <xf numFmtId="4" fontId="20" fillId="8" borderId="53" xfId="5" applyNumberFormat="1" applyFont="1" applyFill="1" applyBorder="1" applyAlignment="1">
      <alignment horizontal="center" vertical="center"/>
    </xf>
    <xf numFmtId="4" fontId="20" fillId="8" borderId="52" xfId="5" applyNumberFormat="1" applyFont="1" applyFill="1" applyBorder="1" applyAlignment="1">
      <alignment horizontal="center" vertical="center" wrapText="1"/>
    </xf>
    <xf numFmtId="0" fontId="1" fillId="5" borderId="53" xfId="5" applyFont="1" applyFill="1" applyBorder="1" applyAlignment="1">
      <alignment horizontal="center" vertical="center"/>
    </xf>
    <xf numFmtId="0" fontId="1" fillId="5" borderId="52" xfId="5" applyFont="1" applyFill="1" applyBorder="1" applyAlignment="1">
      <alignment horizontal="center" vertical="center" wrapText="1"/>
    </xf>
    <xf numFmtId="0" fontId="20" fillId="4" borderId="53" xfId="5" applyFont="1" applyFill="1" applyBorder="1" applyAlignment="1">
      <alignment horizontal="center" vertical="center"/>
    </xf>
    <xf numFmtId="0" fontId="20" fillId="4" borderId="53" xfId="5" applyFont="1" applyFill="1" applyBorder="1" applyAlignment="1">
      <alignment horizontal="center" vertical="center" wrapText="1"/>
    </xf>
    <xf numFmtId="0" fontId="35" fillId="0" borderId="56" xfId="0" applyFont="1" applyBorder="1" applyAlignment="1">
      <alignment horizontal="center" wrapText="1"/>
    </xf>
    <xf numFmtId="0" fontId="35" fillId="5" borderId="53" xfId="0" applyFont="1" applyFill="1" applyBorder="1" applyAlignment="1">
      <alignment horizontal="left" vertical="center" wrapText="1" indent="1"/>
    </xf>
    <xf numFmtId="40" fontId="34" fillId="0" borderId="52" xfId="0" applyNumberFormat="1" applyFont="1" applyBorder="1" applyAlignment="1">
      <alignment horizontal="right"/>
    </xf>
    <xf numFmtId="0" fontId="35" fillId="5" borderId="52" xfId="0" applyFont="1" applyFill="1" applyBorder="1" applyAlignment="1">
      <alignment horizontal="center" vertical="center" wrapText="1"/>
    </xf>
    <xf numFmtId="10" fontId="34" fillId="0" borderId="54" xfId="0" applyNumberFormat="1" applyFont="1" applyBorder="1"/>
    <xf numFmtId="9" fontId="34" fillId="0" borderId="53" xfId="0" applyNumberFormat="1" applyFont="1" applyBorder="1"/>
    <xf numFmtId="9" fontId="34" fillId="0" borderId="57" xfId="0" applyNumberFormat="1" applyFont="1" applyBorder="1"/>
    <xf numFmtId="9" fontId="34" fillId="5" borderId="53" xfId="0" applyNumberFormat="1" applyFont="1" applyFill="1" applyBorder="1"/>
    <xf numFmtId="0" fontId="31" fillId="0" borderId="56" xfId="0" applyFont="1" applyBorder="1" applyAlignment="1">
      <alignment horizontal="center" wrapText="1"/>
    </xf>
    <xf numFmtId="0" fontId="31" fillId="5" borderId="53" xfId="0" applyFont="1" applyFill="1" applyBorder="1" applyAlignment="1">
      <alignment horizontal="left" vertical="center" wrapText="1" indent="1"/>
    </xf>
    <xf numFmtId="9" fontId="34" fillId="5" borderId="57" xfId="0" applyNumberFormat="1" applyFont="1" applyFill="1" applyBorder="1"/>
    <xf numFmtId="0" fontId="31" fillId="0" borderId="53" xfId="0" applyFont="1" applyBorder="1" applyAlignment="1">
      <alignment horizontal="left" vertical="center" wrapText="1" indent="1"/>
    </xf>
    <xf numFmtId="10" fontId="34" fillId="7" borderId="54" xfId="0" applyNumberFormat="1" applyFont="1" applyFill="1" applyBorder="1"/>
    <xf numFmtId="10" fontId="34" fillId="0" borderId="57" xfId="0" applyNumberFormat="1" applyFont="1" applyBorder="1"/>
    <xf numFmtId="10" fontId="34" fillId="7" borderId="57" xfId="0" applyNumberFormat="1" applyFont="1" applyFill="1" applyBorder="1"/>
    <xf numFmtId="0" fontId="35" fillId="0" borderId="52" xfId="0" applyFont="1" applyBorder="1" applyAlignment="1">
      <alignment horizontal="center" vertical="center" wrapText="1"/>
    </xf>
    <xf numFmtId="40" fontId="34" fillId="0" borderId="53" xfId="0" applyNumberFormat="1" applyFont="1" applyBorder="1"/>
    <xf numFmtId="10" fontId="33" fillId="4" borderId="54" xfId="0" applyNumberFormat="1" applyFont="1" applyFill="1" applyBorder="1" applyAlignment="1">
      <alignment horizontal="right"/>
    </xf>
    <xf numFmtId="10" fontId="33" fillId="4" borderId="57" xfId="0" applyNumberFormat="1" applyFont="1" applyFill="1" applyBorder="1" applyAlignment="1">
      <alignment horizontal="right"/>
    </xf>
    <xf numFmtId="0" fontId="38" fillId="0" borderId="51" xfId="0" applyFont="1" applyBorder="1" applyAlignment="1">
      <alignment horizontal="center" vertical="center" wrapText="1"/>
    </xf>
    <xf numFmtId="0" fontId="47" fillId="0" borderId="41" xfId="5" applyFont="1" applyBorder="1" applyAlignment="1">
      <alignment horizontal="center" vertical="center"/>
    </xf>
    <xf numFmtId="177" fontId="46" fillId="5" borderId="41" xfId="0" applyNumberFormat="1" applyFont="1" applyFill="1" applyBorder="1" applyAlignment="1">
      <alignment horizontal="center" vertical="center" wrapText="1"/>
    </xf>
    <xf numFmtId="177" fontId="46" fillId="5" borderId="41" xfId="4" applyNumberFormat="1" applyFont="1" applyFill="1" applyBorder="1" applyAlignment="1">
      <alignment horizontal="center" vertical="center" wrapText="1"/>
    </xf>
    <xf numFmtId="177" fontId="46" fillId="10" borderId="41" xfId="1" applyNumberFormat="1" applyFont="1" applyFill="1" applyBorder="1" applyAlignment="1">
      <alignment horizontal="center" vertical="center" wrapText="1"/>
    </xf>
    <xf numFmtId="0" fontId="57" fillId="5" borderId="30" xfId="0" applyFont="1" applyFill="1" applyBorder="1" applyAlignment="1">
      <alignment horizontal="center" vertical="center" wrapText="1"/>
    </xf>
    <xf numFmtId="0" fontId="57" fillId="0" borderId="30" xfId="0" applyFont="1" applyBorder="1" applyAlignment="1">
      <alignment horizontal="center" vertical="center" wrapText="1"/>
    </xf>
    <xf numFmtId="2" fontId="47" fillId="8" borderId="41" xfId="5" applyNumberFormat="1" applyFont="1" applyFill="1" applyBorder="1" applyAlignment="1">
      <alignment horizontal="center" vertical="center"/>
    </xf>
    <xf numFmtId="0" fontId="46" fillId="0" borderId="30" xfId="0" applyFont="1" applyBorder="1" applyAlignment="1">
      <alignment horizontal="center" vertical="center" wrapText="1"/>
    </xf>
    <xf numFmtId="0" fontId="46" fillId="5" borderId="30" xfId="0" applyFont="1" applyFill="1" applyBorder="1" applyAlignment="1">
      <alignment horizontal="center" vertical="center" wrapText="1"/>
    </xf>
    <xf numFmtId="3" fontId="47" fillId="8" borderId="53" xfId="5" applyNumberFormat="1" applyFont="1" applyFill="1" applyBorder="1" applyAlignment="1">
      <alignment horizontal="center" vertical="center"/>
    </xf>
    <xf numFmtId="4" fontId="47" fillId="8" borderId="53" xfId="5" applyNumberFormat="1" applyFont="1" applyFill="1" applyBorder="1" applyAlignment="1">
      <alignment horizontal="center" vertical="center"/>
    </xf>
    <xf numFmtId="4" fontId="47" fillId="8" borderId="52" xfId="5" applyNumberFormat="1" applyFont="1" applyFill="1" applyBorder="1" applyAlignment="1">
      <alignment horizontal="center" vertical="center" wrapText="1"/>
    </xf>
    <xf numFmtId="2" fontId="19" fillId="5" borderId="41" xfId="0" applyNumberFormat="1" applyFont="1" applyFill="1" applyBorder="1" applyAlignment="1">
      <alignment vertical="center"/>
    </xf>
    <xf numFmtId="4" fontId="20" fillId="0" borderId="2" xfId="0" applyNumberFormat="1" applyFont="1" applyBorder="1" applyAlignment="1">
      <alignment vertical="center"/>
    </xf>
    <xf numFmtId="4" fontId="1" fillId="0" borderId="2" xfId="0" applyNumberFormat="1" applyFont="1" applyBorder="1" applyAlignment="1">
      <alignment vertical="center"/>
    </xf>
    <xf numFmtId="0" fontId="57" fillId="5" borderId="30" xfId="6" applyFont="1" applyFill="1" applyBorder="1" applyAlignment="1">
      <alignment horizontal="center" vertical="center" wrapText="1"/>
    </xf>
    <xf numFmtId="165" fontId="46" fillId="5" borderId="30" xfId="0" applyNumberFormat="1" applyFont="1" applyFill="1" applyBorder="1" applyAlignment="1">
      <alignment horizontal="center" vertical="center" wrapText="1"/>
    </xf>
    <xf numFmtId="165" fontId="46" fillId="5" borderId="30" xfId="6" applyNumberFormat="1" applyFont="1" applyFill="1" applyBorder="1" applyAlignment="1">
      <alignment horizontal="center" vertical="center" wrapText="1"/>
    </xf>
    <xf numFmtId="165" fontId="51" fillId="0" borderId="52" xfId="0" applyNumberFormat="1" applyFont="1" applyBorder="1" applyAlignment="1">
      <alignment vertical="center" wrapText="1"/>
    </xf>
    <xf numFmtId="4" fontId="46" fillId="5" borderId="41" xfId="0" applyNumberFormat="1" applyFont="1" applyFill="1" applyBorder="1" applyAlignment="1">
      <alignment horizontal="center" vertical="center"/>
    </xf>
    <xf numFmtId="0" fontId="45" fillId="12" borderId="0" xfId="0" applyFont="1" applyFill="1"/>
    <xf numFmtId="178" fontId="46" fillId="5" borderId="41" xfId="0" applyNumberFormat="1" applyFont="1" applyFill="1" applyBorder="1" applyAlignment="1">
      <alignment horizontal="center" vertical="center" wrapText="1"/>
    </xf>
    <xf numFmtId="10" fontId="51" fillId="0" borderId="46" xfId="0" applyNumberFormat="1" applyFont="1" applyBorder="1" applyAlignment="1">
      <alignment vertical="center"/>
    </xf>
    <xf numFmtId="165" fontId="46" fillId="5" borderId="30" xfId="0" applyNumberFormat="1" applyFont="1" applyFill="1" applyBorder="1" applyAlignment="1">
      <alignment horizontal="right" vertical="center" wrapText="1"/>
    </xf>
    <xf numFmtId="2" fontId="48" fillId="0" borderId="41" xfId="5" applyNumberFormat="1" applyFont="1" applyBorder="1" applyAlignment="1">
      <alignment horizontal="center" vertical="center" wrapText="1"/>
    </xf>
    <xf numFmtId="0" fontId="47" fillId="0" borderId="44" xfId="5" applyFont="1" applyBorder="1" applyAlignment="1">
      <alignment horizontal="center" vertical="center"/>
    </xf>
    <xf numFmtId="0" fontId="48" fillId="0" borderId="41" xfId="5" applyFont="1" applyBorder="1" applyAlignment="1">
      <alignment horizontal="center" vertical="center" wrapText="1"/>
    </xf>
    <xf numFmtId="4" fontId="47" fillId="0" borderId="2" xfId="5" applyNumberFormat="1" applyFont="1" applyBorder="1" applyAlignment="1">
      <alignment horizontal="center" vertical="center" wrapText="1"/>
    </xf>
    <xf numFmtId="4" fontId="47" fillId="0" borderId="46" xfId="5" applyNumberFormat="1" applyFont="1" applyBorder="1" applyAlignment="1">
      <alignment horizontal="center" vertical="center" wrapText="1"/>
    </xf>
    <xf numFmtId="4" fontId="47" fillId="0" borderId="2" xfId="0" applyNumberFormat="1" applyFont="1" applyBorder="1" applyAlignment="1">
      <alignment horizontal="center" vertical="center"/>
    </xf>
    <xf numFmtId="10" fontId="51" fillId="0" borderId="52" xfId="0" applyNumberFormat="1" applyFont="1" applyBorder="1" applyAlignment="1">
      <alignment vertical="center"/>
    </xf>
    <xf numFmtId="165" fontId="46" fillId="0" borderId="30" xfId="0" applyNumberFormat="1" applyFont="1" applyBorder="1" applyAlignment="1">
      <alignment horizontal="right" vertical="center" wrapText="1"/>
    </xf>
    <xf numFmtId="0" fontId="48" fillId="5" borderId="41" xfId="5" applyFont="1" applyFill="1" applyBorder="1" applyAlignment="1">
      <alignment horizontal="left" vertical="center"/>
    </xf>
    <xf numFmtId="0" fontId="20" fillId="8" borderId="41" xfId="5" applyFont="1" applyFill="1" applyBorder="1" applyAlignment="1">
      <alignment vertical="center" wrapText="1"/>
    </xf>
    <xf numFmtId="0" fontId="52" fillId="13" borderId="33" xfId="0" applyFont="1" applyFill="1" applyBorder="1" applyAlignment="1">
      <alignment wrapText="1"/>
    </xf>
    <xf numFmtId="0" fontId="52" fillId="13" borderId="61" xfId="0" applyFont="1" applyFill="1" applyBorder="1" applyAlignment="1">
      <alignment wrapText="1"/>
    </xf>
    <xf numFmtId="0" fontId="52" fillId="0" borderId="61" xfId="0" applyFont="1" applyBorder="1" applyAlignment="1">
      <alignment wrapText="1"/>
    </xf>
    <xf numFmtId="165" fontId="4" fillId="0" borderId="51" xfId="0" applyNumberFormat="1" applyFont="1" applyBorder="1" applyAlignment="1">
      <alignment horizontal="right" vertical="center" wrapText="1"/>
    </xf>
    <xf numFmtId="168" fontId="5" fillId="4" borderId="47" xfId="0" applyNumberFormat="1" applyFont="1" applyFill="1" applyBorder="1" applyAlignment="1">
      <alignment horizontal="center" vertical="center" wrapText="1"/>
    </xf>
    <xf numFmtId="4" fontId="48" fillId="5" borderId="52" xfId="0" applyNumberFormat="1" applyFont="1" applyFill="1" applyBorder="1" applyAlignment="1">
      <alignment horizontal="center" vertical="center"/>
    </xf>
    <xf numFmtId="165" fontId="0" fillId="0" borderId="41" xfId="8" applyNumberFormat="1" applyFont="1" applyBorder="1" applyAlignment="1">
      <alignment horizontal="center" vertical="center"/>
    </xf>
    <xf numFmtId="0" fontId="48" fillId="0" borderId="41" xfId="5" applyFont="1" applyBorder="1" applyAlignment="1">
      <alignment vertical="center"/>
    </xf>
    <xf numFmtId="4" fontId="48" fillId="0" borderId="41" xfId="5" applyNumberFormat="1" applyFont="1" applyBorder="1" applyAlignment="1">
      <alignment horizontal="center" vertical="center" wrapText="1"/>
    </xf>
    <xf numFmtId="0" fontId="47" fillId="5" borderId="41" xfId="5" applyFont="1" applyFill="1" applyBorder="1" applyAlignment="1">
      <alignment horizontal="center" vertical="center"/>
    </xf>
    <xf numFmtId="4" fontId="47" fillId="5" borderId="41" xfId="5" applyNumberFormat="1" applyFont="1" applyFill="1" applyBorder="1" applyAlignment="1">
      <alignment horizontal="center" vertical="center"/>
    </xf>
    <xf numFmtId="2" fontId="47" fillId="5" borderId="41" xfId="5" applyNumberFormat="1" applyFont="1" applyFill="1" applyBorder="1" applyAlignment="1">
      <alignment vertical="center"/>
    </xf>
    <xf numFmtId="4" fontId="47" fillId="5" borderId="41" xfId="5" applyNumberFormat="1" applyFont="1" applyFill="1" applyBorder="1" applyAlignment="1">
      <alignment vertical="center"/>
    </xf>
    <xf numFmtId="0" fontId="47" fillId="5" borderId="41" xfId="5" applyFont="1" applyFill="1" applyBorder="1" applyAlignment="1">
      <alignment vertical="center"/>
    </xf>
    <xf numFmtId="164" fontId="0" fillId="0" borderId="41" xfId="8" applyFont="1" applyBorder="1" applyAlignment="1">
      <alignment horizontal="center" vertical="center"/>
    </xf>
    <xf numFmtId="2" fontId="48" fillId="5" borderId="53" xfId="5" applyNumberFormat="1" applyFont="1" applyFill="1" applyBorder="1" applyAlignment="1">
      <alignment horizontal="center" vertical="center"/>
    </xf>
    <xf numFmtId="3" fontId="20" fillId="8" borderId="41" xfId="5" applyNumberFormat="1" applyFont="1" applyFill="1" applyBorder="1" applyAlignment="1">
      <alignment horizontal="center" vertical="center" wrapText="1"/>
    </xf>
    <xf numFmtId="0" fontId="47" fillId="0" borderId="41" xfId="5" applyFont="1" applyBorder="1" applyAlignment="1">
      <alignment vertical="center"/>
    </xf>
    <xf numFmtId="0" fontId="50" fillId="0" borderId="0" xfId="0" applyFont="1" applyAlignment="1">
      <alignment vertical="center"/>
    </xf>
    <xf numFmtId="0" fontId="19" fillId="5" borderId="41" xfId="0" applyFont="1" applyFill="1" applyBorder="1" applyAlignment="1">
      <alignment vertical="center"/>
    </xf>
    <xf numFmtId="4" fontId="48" fillId="0" borderId="41" xfId="0" applyNumberFormat="1" applyFont="1" applyBorder="1" applyAlignment="1">
      <alignment horizontal="center" vertical="center"/>
    </xf>
    <xf numFmtId="4" fontId="48" fillId="0" borderId="52" xfId="0" applyNumberFormat="1" applyFont="1" applyBorder="1" applyAlignment="1">
      <alignment horizontal="center" vertical="center"/>
    </xf>
    <xf numFmtId="4" fontId="48" fillId="5" borderId="41" xfId="0" applyNumberFormat="1" applyFont="1" applyFill="1" applyBorder="1" applyAlignment="1">
      <alignment horizontal="center" vertical="center"/>
    </xf>
    <xf numFmtId="4" fontId="20" fillId="8" borderId="52" xfId="0" applyNumberFormat="1" applyFont="1" applyFill="1" applyBorder="1" applyAlignment="1">
      <alignment horizontal="center" vertical="center"/>
    </xf>
    <xf numFmtId="4" fontId="47" fillId="8" borderId="52" xfId="0" applyNumberFormat="1" applyFont="1" applyFill="1" applyBorder="1" applyAlignment="1">
      <alignment horizontal="center" vertical="center"/>
    </xf>
    <xf numFmtId="0" fontId="1" fillId="5" borderId="52" xfId="0" applyFont="1" applyFill="1" applyBorder="1" applyAlignment="1">
      <alignment horizontal="center" vertical="center"/>
    </xf>
    <xf numFmtId="0" fontId="19" fillId="0" borderId="43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46" fillId="5" borderId="55" xfId="0" applyFont="1" applyFill="1" applyBorder="1" applyAlignment="1">
      <alignment horizontal="center" vertical="center" wrapText="1"/>
    </xf>
    <xf numFmtId="2" fontId="47" fillId="8" borderId="41" xfId="5" applyNumberFormat="1" applyFont="1" applyFill="1" applyBorder="1" applyAlignment="1">
      <alignment vertical="center"/>
    </xf>
    <xf numFmtId="4" fontId="47" fillId="8" borderId="41" xfId="5" applyNumberFormat="1" applyFont="1" applyFill="1" applyBorder="1" applyAlignment="1">
      <alignment vertical="center"/>
    </xf>
    <xf numFmtId="2" fontId="4" fillId="5" borderId="44" xfId="0" applyNumberFormat="1" applyFont="1" applyFill="1" applyBorder="1" applyAlignment="1">
      <alignment horizontal="center" vertical="center" wrapText="1"/>
    </xf>
    <xf numFmtId="2" fontId="4" fillId="5" borderId="44" xfId="4" applyNumberFormat="1" applyFont="1" applyFill="1" applyBorder="1" applyAlignment="1">
      <alignment horizontal="center" vertical="center" wrapText="1"/>
    </xf>
    <xf numFmtId="165" fontId="51" fillId="0" borderId="2" xfId="0" applyNumberFormat="1" applyFont="1" applyBorder="1" applyAlignment="1">
      <alignment vertical="center"/>
    </xf>
    <xf numFmtId="0" fontId="61" fillId="0" borderId="0" xfId="0" applyFont="1"/>
    <xf numFmtId="0" fontId="46" fillId="5" borderId="30" xfId="0" applyFont="1" applyFill="1" applyBorder="1" applyAlignment="1">
      <alignment horizontal="center" vertical="center"/>
    </xf>
    <xf numFmtId="0" fontId="46" fillId="0" borderId="30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171" fontId="4" fillId="5" borderId="35" xfId="0" applyNumberFormat="1" applyFont="1" applyFill="1" applyBorder="1" applyAlignment="1">
      <alignment horizontal="center" vertical="center" wrapText="1"/>
    </xf>
    <xf numFmtId="10" fontId="3" fillId="4" borderId="52" xfId="0" applyNumberFormat="1" applyFont="1" applyFill="1" applyBorder="1" applyAlignment="1">
      <alignment vertical="center"/>
    </xf>
    <xf numFmtId="0" fontId="13" fillId="4" borderId="33" xfId="0" applyFont="1" applyFill="1" applyBorder="1" applyAlignment="1">
      <alignment horizontal="center" vertical="center" wrapText="1"/>
    </xf>
    <xf numFmtId="167" fontId="13" fillId="4" borderId="33" xfId="0" applyNumberFormat="1" applyFont="1" applyFill="1" applyBorder="1" applyAlignment="1">
      <alignment horizontal="center" vertical="center" wrapText="1"/>
    </xf>
    <xf numFmtId="10" fontId="3" fillId="4" borderId="33" xfId="0" applyNumberFormat="1" applyFont="1" applyFill="1" applyBorder="1" applyAlignment="1">
      <alignment vertical="center"/>
    </xf>
    <xf numFmtId="0" fontId="5" fillId="0" borderId="37" xfId="0" applyFont="1" applyBorder="1" applyAlignment="1">
      <alignment horizontal="center" vertical="center" wrapText="1"/>
    </xf>
    <xf numFmtId="0" fontId="4" fillId="0" borderId="55" xfId="0" applyFont="1" applyBorder="1" applyAlignment="1">
      <alignment horizontal="center" vertical="center"/>
    </xf>
    <xf numFmtId="0" fontId="4" fillId="5" borderId="55" xfId="0" applyFont="1" applyFill="1" applyBorder="1" applyAlignment="1">
      <alignment horizontal="center" vertical="center"/>
    </xf>
    <xf numFmtId="171" fontId="4" fillId="5" borderId="55" xfId="0" applyNumberFormat="1" applyFont="1" applyFill="1" applyBorder="1" applyAlignment="1">
      <alignment horizontal="center" vertical="center" wrapText="1"/>
    </xf>
    <xf numFmtId="3" fontId="48" fillId="0" borderId="53" xfId="5" applyNumberFormat="1" applyFont="1" applyBorder="1" applyAlignment="1">
      <alignment horizontal="center" vertical="center"/>
    </xf>
    <xf numFmtId="0" fontId="22" fillId="5" borderId="44" xfId="5" applyFont="1" applyFill="1" applyBorder="1" applyAlignment="1">
      <alignment horizontal="center" vertical="center"/>
    </xf>
    <xf numFmtId="0" fontId="47" fillId="8" borderId="41" xfId="5" applyFont="1" applyFill="1" applyBorder="1" applyAlignment="1">
      <alignment horizontal="center" vertical="center" wrapText="1"/>
    </xf>
    <xf numFmtId="165" fontId="3" fillId="0" borderId="33" xfId="0" applyNumberFormat="1" applyFont="1" applyBorder="1" applyAlignment="1">
      <alignment vertical="center"/>
    </xf>
    <xf numFmtId="0" fontId="3" fillId="4" borderId="51" xfId="0" applyFont="1" applyFill="1" applyBorder="1" applyAlignment="1">
      <alignment horizontal="left" vertical="center" wrapText="1"/>
    </xf>
    <xf numFmtId="0" fontId="3" fillId="4" borderId="51" xfId="0" applyFont="1" applyFill="1" applyBorder="1" applyAlignment="1">
      <alignment horizontal="center" vertical="center" wrapText="1"/>
    </xf>
    <xf numFmtId="165" fontId="5" fillId="4" borderId="51" xfId="0" applyNumberFormat="1" applyFont="1" applyFill="1" applyBorder="1" applyAlignment="1">
      <alignment horizontal="center" vertical="center" wrapText="1"/>
    </xf>
    <xf numFmtId="168" fontId="5" fillId="4" borderId="51" xfId="0" applyNumberFormat="1" applyFont="1" applyFill="1" applyBorder="1" applyAlignment="1">
      <alignment horizontal="center" vertical="center" wrapText="1"/>
    </xf>
    <xf numFmtId="168" fontId="4" fillId="4" borderId="51" xfId="0" applyNumberFormat="1" applyFont="1" applyFill="1" applyBorder="1" applyAlignment="1">
      <alignment horizontal="center" vertical="center" wrapText="1"/>
    </xf>
    <xf numFmtId="167" fontId="3" fillId="4" borderId="55" xfId="0" applyNumberFormat="1" applyFont="1" applyFill="1" applyBorder="1" applyAlignment="1">
      <alignment horizontal="center" vertical="center" wrapText="1"/>
    </xf>
    <xf numFmtId="0" fontId="4" fillId="5" borderId="39" xfId="0" applyFont="1" applyFill="1" applyBorder="1" applyAlignment="1">
      <alignment horizontal="center" vertical="center" wrapText="1"/>
    </xf>
    <xf numFmtId="165" fontId="4" fillId="5" borderId="62" xfId="0" applyNumberFormat="1" applyFont="1" applyFill="1" applyBorder="1" applyAlignment="1">
      <alignment horizontal="right" vertical="center" wrapText="1"/>
    </xf>
    <xf numFmtId="0" fontId="57" fillId="0" borderId="63" xfId="6" applyFont="1" applyBorder="1" applyAlignment="1">
      <alignment vertical="center" wrapText="1"/>
    </xf>
    <xf numFmtId="165" fontId="4" fillId="0" borderId="53" xfId="0" applyNumberFormat="1" applyFont="1" applyBorder="1" applyAlignment="1">
      <alignment horizontal="center" vertical="center" wrapText="1"/>
    </xf>
    <xf numFmtId="0" fontId="57" fillId="0" borderId="52" xfId="6" applyFont="1" applyBorder="1" applyAlignment="1">
      <alignment vertical="center" wrapText="1"/>
    </xf>
    <xf numFmtId="0" fontId="4" fillId="0" borderId="38" xfId="6" applyFont="1" applyBorder="1" applyAlignment="1">
      <alignment horizontal="center" vertical="center" wrapText="1"/>
    </xf>
    <xf numFmtId="165" fontId="57" fillId="0" borderId="53" xfId="6" applyNumberFormat="1" applyFont="1" applyBorder="1" applyAlignment="1">
      <alignment horizontal="center" vertical="center" wrapText="1"/>
    </xf>
    <xf numFmtId="165" fontId="46" fillId="0" borderId="53" xfId="0" applyNumberFormat="1" applyFont="1" applyBorder="1" applyAlignment="1">
      <alignment horizontal="center" vertical="center" wrapText="1"/>
    </xf>
    <xf numFmtId="0" fontId="5" fillId="0" borderId="5" xfId="6" applyFont="1" applyBorder="1" applyAlignment="1">
      <alignment vertical="center" wrapText="1"/>
    </xf>
    <xf numFmtId="0" fontId="5" fillId="0" borderId="53" xfId="6" applyFont="1" applyBorder="1" applyAlignment="1">
      <alignment horizontal="center" vertical="center" wrapText="1"/>
    </xf>
    <xf numFmtId="165" fontId="5" fillId="0" borderId="53" xfId="6" applyNumberFormat="1" applyFont="1" applyBorder="1" applyAlignment="1">
      <alignment horizontal="center" vertical="center" wrapText="1"/>
    </xf>
    <xf numFmtId="0" fontId="4" fillId="0" borderId="2" xfId="6" applyFont="1" applyBorder="1" applyAlignment="1">
      <alignment vertical="center" wrapText="1"/>
    </xf>
    <xf numFmtId="0" fontId="4" fillId="0" borderId="2" xfId="6" applyFont="1" applyBorder="1" applyAlignment="1">
      <alignment horizontal="center" vertical="center" wrapText="1"/>
    </xf>
    <xf numFmtId="165" fontId="5" fillId="0" borderId="41" xfId="6" applyNumberFormat="1" applyFont="1" applyBorder="1" applyAlignment="1">
      <alignment horizontal="center" vertical="center" wrapText="1"/>
    </xf>
    <xf numFmtId="0" fontId="4" fillId="0" borderId="46" xfId="6" applyFont="1" applyBorder="1" applyAlignment="1">
      <alignment horizontal="left" vertical="center" wrapText="1"/>
    </xf>
    <xf numFmtId="0" fontId="4" fillId="0" borderId="46" xfId="6" applyFont="1" applyBorder="1" applyAlignment="1">
      <alignment horizontal="center" vertical="center" wrapText="1"/>
    </xf>
    <xf numFmtId="165" fontId="4" fillId="0" borderId="44" xfId="6" applyNumberFormat="1" applyFont="1" applyBorder="1" applyAlignment="1">
      <alignment horizontal="center" vertical="center" wrapText="1"/>
    </xf>
    <xf numFmtId="165" fontId="4" fillId="0" borderId="3" xfId="0" applyNumberFormat="1" applyFont="1" applyBorder="1" applyAlignment="1">
      <alignment horizontal="center" vertical="center" wrapText="1"/>
    </xf>
    <xf numFmtId="0" fontId="4" fillId="0" borderId="2" xfId="6" applyFont="1" applyBorder="1" applyAlignment="1">
      <alignment horizontal="left" vertical="center" wrapText="1"/>
    </xf>
    <xf numFmtId="0" fontId="4" fillId="0" borderId="41" xfId="6" applyFont="1" applyBorder="1" applyAlignment="1">
      <alignment horizontal="center" vertical="center" wrapText="1"/>
    </xf>
    <xf numFmtId="165" fontId="4" fillId="0" borderId="41" xfId="6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41" xfId="0" applyFont="1" applyBorder="1" applyAlignment="1">
      <alignment horizontal="center" vertical="center" wrapText="1"/>
    </xf>
    <xf numFmtId="0" fontId="4" fillId="0" borderId="44" xfId="6" applyFont="1" applyBorder="1" applyAlignment="1">
      <alignment horizontal="center" vertical="center" wrapText="1"/>
    </xf>
    <xf numFmtId="165" fontId="4" fillId="0" borderId="44" xfId="0" applyNumberFormat="1" applyFont="1" applyBorder="1" applyAlignment="1">
      <alignment horizontal="center" vertical="center" wrapText="1"/>
    </xf>
    <xf numFmtId="0" fontId="4" fillId="0" borderId="52" xfId="6" applyFont="1" applyBorder="1" applyAlignment="1">
      <alignment horizontal="left" vertical="center" wrapText="1"/>
    </xf>
    <xf numFmtId="0" fontId="4" fillId="0" borderId="5" xfId="6" applyFont="1" applyBorder="1" applyAlignment="1">
      <alignment horizontal="left" vertical="center" wrapText="1"/>
    </xf>
    <xf numFmtId="0" fontId="4" fillId="0" borderId="5" xfId="0" applyFont="1" applyBorder="1" applyAlignment="1">
      <alignment vertical="center" wrapText="1"/>
    </xf>
    <xf numFmtId="165" fontId="5" fillId="0" borderId="3" xfId="0" applyNumberFormat="1" applyFont="1" applyBorder="1" applyAlignment="1">
      <alignment horizontal="center" vertical="center" wrapText="1"/>
    </xf>
    <xf numFmtId="165" fontId="5" fillId="0" borderId="44" xfId="6" applyNumberFormat="1" applyFont="1" applyBorder="1" applyAlignment="1">
      <alignment horizontal="center" vertical="center" wrapText="1"/>
    </xf>
    <xf numFmtId="0" fontId="4" fillId="0" borderId="0" xfId="6" applyFont="1" applyAlignment="1">
      <alignment horizontal="left" vertical="center" wrapText="1"/>
    </xf>
    <xf numFmtId="0" fontId="4" fillId="0" borderId="3" xfId="6" applyFont="1" applyBorder="1" applyAlignment="1">
      <alignment horizontal="center" vertical="center" wrapText="1"/>
    </xf>
    <xf numFmtId="165" fontId="4" fillId="0" borderId="3" xfId="6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165" fontId="5" fillId="0" borderId="44" xfId="0" applyNumberFormat="1" applyFont="1" applyBorder="1" applyAlignment="1">
      <alignment horizontal="center" vertical="center" wrapText="1"/>
    </xf>
    <xf numFmtId="0" fontId="4" fillId="0" borderId="51" xfId="0" applyFont="1" applyBorder="1" applyAlignment="1">
      <alignment horizontal="left" vertical="center" wrapText="1"/>
    </xf>
    <xf numFmtId="165" fontId="5" fillId="0" borderId="54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6" fillId="0" borderId="41" xfId="0" applyFont="1" applyBorder="1" applyAlignment="1">
      <alignment horizontal="center" vertical="center" wrapText="1"/>
    </xf>
    <xf numFmtId="165" fontId="46" fillId="0" borderId="41" xfId="0" applyNumberFormat="1" applyFont="1" applyBorder="1" applyAlignment="1">
      <alignment horizontal="center" vertical="center" wrapText="1"/>
    </xf>
    <xf numFmtId="0" fontId="4" fillId="0" borderId="33" xfId="0" applyFont="1" applyBorder="1" applyAlignment="1">
      <alignment horizontal="left" vertical="center" wrapText="1"/>
    </xf>
    <xf numFmtId="165" fontId="5" fillId="0" borderId="33" xfId="0" applyNumberFormat="1" applyFont="1" applyBorder="1" applyAlignment="1">
      <alignment horizontal="center" vertical="center" wrapText="1"/>
    </xf>
    <xf numFmtId="0" fontId="52" fillId="0" borderId="2" xfId="0" applyFont="1" applyBorder="1" applyAlignment="1">
      <alignment horizontal="left" vertical="center" wrapText="1"/>
    </xf>
    <xf numFmtId="165" fontId="4" fillId="0" borderId="33" xfId="0" applyNumberFormat="1" applyFont="1" applyBorder="1" applyAlignment="1">
      <alignment horizontal="right" vertical="center" wrapText="1"/>
    </xf>
    <xf numFmtId="0" fontId="4" fillId="0" borderId="52" xfId="0" applyFont="1" applyBorder="1" applyAlignment="1">
      <alignment vertical="center" wrapText="1"/>
    </xf>
    <xf numFmtId="165" fontId="5" fillId="0" borderId="53" xfId="0" applyNumberFormat="1" applyFont="1" applyBorder="1" applyAlignment="1">
      <alignment horizontal="center" vertical="center" wrapText="1"/>
    </xf>
    <xf numFmtId="0" fontId="4" fillId="0" borderId="46" xfId="0" applyFont="1" applyBorder="1" applyAlignment="1">
      <alignment horizontal="left" vertical="center" wrapText="1"/>
    </xf>
    <xf numFmtId="0" fontId="4" fillId="0" borderId="52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5" fontId="3" fillId="0" borderId="1" xfId="0" applyNumberFormat="1" applyFont="1" applyBorder="1" applyAlignment="1">
      <alignment horizontal="center" vertical="center" wrapText="1"/>
    </xf>
    <xf numFmtId="168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6" fillId="0" borderId="2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165" fontId="5" fillId="0" borderId="1" xfId="0" applyNumberFormat="1" applyFont="1" applyBorder="1" applyAlignment="1">
      <alignment horizontal="center" vertical="center" wrapText="1"/>
    </xf>
    <xf numFmtId="168" fontId="5" fillId="0" borderId="1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left" vertical="center" wrapText="1"/>
    </xf>
    <xf numFmtId="0" fontId="4" fillId="0" borderId="2" xfId="0" applyFont="1" applyBorder="1" applyAlignment="1">
      <alignment vertical="center" wrapText="1"/>
    </xf>
    <xf numFmtId="0" fontId="46" fillId="0" borderId="37" xfId="0" applyFont="1" applyBorder="1" applyAlignment="1">
      <alignment horizontal="left" vertical="center" wrapText="1"/>
    </xf>
    <xf numFmtId="0" fontId="46" fillId="0" borderId="44" xfId="0" applyFont="1" applyBorder="1" applyAlignment="1">
      <alignment horizontal="center" vertical="center" wrapText="1"/>
    </xf>
    <xf numFmtId="165" fontId="46" fillId="0" borderId="37" xfId="0" applyNumberFormat="1" applyFont="1" applyBorder="1" applyAlignment="1">
      <alignment horizontal="center" vertical="center" wrapText="1"/>
    </xf>
    <xf numFmtId="168" fontId="4" fillId="0" borderId="1" xfId="0" applyNumberFormat="1" applyFont="1" applyBorder="1" applyAlignment="1">
      <alignment horizontal="center" vertical="center" wrapText="1"/>
    </xf>
    <xf numFmtId="0" fontId="46" fillId="0" borderId="52" xfId="0" applyFont="1" applyBorder="1" applyAlignment="1">
      <alignment horizontal="left" vertical="center" wrapText="1"/>
    </xf>
    <xf numFmtId="0" fontId="46" fillId="0" borderId="53" xfId="0" applyFont="1" applyBorder="1" applyAlignment="1">
      <alignment horizontal="center" vertical="center" wrapText="1"/>
    </xf>
    <xf numFmtId="165" fontId="57" fillId="0" borderId="53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65" fontId="5" fillId="0" borderId="52" xfId="0" applyNumberFormat="1" applyFont="1" applyBorder="1" applyAlignment="1">
      <alignment horizontal="center" vertical="center" wrapText="1"/>
    </xf>
    <xf numFmtId="165" fontId="5" fillId="0" borderId="46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47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165" fontId="5" fillId="0" borderId="2" xfId="0" applyNumberFormat="1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0" borderId="46" xfId="0" applyFont="1" applyBorder="1" applyAlignment="1">
      <alignment vertical="center" wrapText="1"/>
    </xf>
    <xf numFmtId="0" fontId="46" fillId="0" borderId="46" xfId="0" applyFont="1" applyBorder="1" applyAlignment="1">
      <alignment vertical="center" wrapText="1"/>
    </xf>
    <xf numFmtId="165" fontId="57" fillId="0" borderId="44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4" fillId="0" borderId="52" xfId="0" applyFont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 wrapText="1"/>
    </xf>
    <xf numFmtId="0" fontId="46" fillId="0" borderId="2" xfId="0" applyFont="1" applyBorder="1" applyAlignment="1">
      <alignment vertical="center" wrapText="1"/>
    </xf>
    <xf numFmtId="0" fontId="46" fillId="0" borderId="2" xfId="0" applyFont="1" applyBorder="1" applyAlignment="1">
      <alignment horizontal="center" vertical="center" wrapText="1"/>
    </xf>
    <xf numFmtId="165" fontId="57" fillId="0" borderId="41" xfId="0" applyNumberFormat="1" applyFont="1" applyBorder="1" applyAlignment="1">
      <alignment horizontal="center" vertical="center" wrapText="1"/>
    </xf>
    <xf numFmtId="0" fontId="46" fillId="0" borderId="46" xfId="0" applyFont="1" applyBorder="1" applyAlignment="1">
      <alignment horizontal="center" vertical="center" wrapText="1"/>
    </xf>
    <xf numFmtId="0" fontId="46" fillId="0" borderId="46" xfId="0" applyFont="1" applyBorder="1" applyAlignment="1">
      <alignment horizontal="left" vertical="center" wrapText="1"/>
    </xf>
    <xf numFmtId="165" fontId="46" fillId="0" borderId="44" xfId="0" applyNumberFormat="1" applyFont="1" applyBorder="1" applyAlignment="1">
      <alignment horizontal="center" vertical="center" wrapText="1"/>
    </xf>
    <xf numFmtId="0" fontId="46" fillId="0" borderId="36" xfId="0" applyFont="1" applyBorder="1" applyAlignment="1">
      <alignment horizontal="left" vertical="center" wrapText="1"/>
    </xf>
    <xf numFmtId="165" fontId="46" fillId="0" borderId="40" xfId="0" applyNumberFormat="1" applyFont="1" applyBorder="1" applyAlignment="1">
      <alignment horizontal="center" vertical="center" wrapText="1"/>
    </xf>
    <xf numFmtId="165" fontId="4" fillId="0" borderId="54" xfId="0" applyNumberFormat="1" applyFont="1" applyBorder="1" applyAlignment="1">
      <alignment horizontal="right" vertical="center" wrapText="1"/>
    </xf>
    <xf numFmtId="165" fontId="4" fillId="0" borderId="45" xfId="0" applyNumberFormat="1" applyFont="1" applyBorder="1" applyAlignment="1">
      <alignment horizontal="right" vertical="center" wrapText="1"/>
    </xf>
    <xf numFmtId="0" fontId="3" fillId="0" borderId="51" xfId="0" applyFont="1" applyBorder="1" applyAlignment="1">
      <alignment horizontal="left" vertical="center" wrapText="1"/>
    </xf>
    <xf numFmtId="0" fontId="3" fillId="0" borderId="51" xfId="0" applyFont="1" applyBorder="1" applyAlignment="1">
      <alignment horizontal="center" vertical="center" wrapText="1"/>
    </xf>
    <xf numFmtId="165" fontId="5" fillId="0" borderId="51" xfId="0" applyNumberFormat="1" applyFont="1" applyBorder="1" applyAlignment="1">
      <alignment horizontal="center" vertical="center" wrapText="1"/>
    </xf>
    <xf numFmtId="168" fontId="4" fillId="0" borderId="51" xfId="0" applyNumberFormat="1" applyFont="1" applyBorder="1" applyAlignment="1">
      <alignment horizontal="center" vertical="center" wrapText="1"/>
    </xf>
    <xf numFmtId="165" fontId="13" fillId="0" borderId="1" xfId="0" applyNumberFormat="1" applyFont="1" applyBorder="1" applyAlignment="1">
      <alignment horizontal="center" vertical="center" wrapText="1"/>
    </xf>
    <xf numFmtId="0" fontId="46" fillId="0" borderId="5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36" xfId="0" applyFont="1" applyBorder="1" applyAlignment="1">
      <alignment horizontal="left" vertical="center" wrapText="1"/>
    </xf>
    <xf numFmtId="165" fontId="4" fillId="0" borderId="33" xfId="0" applyNumberFormat="1" applyFont="1" applyBorder="1" applyAlignment="1">
      <alignment horizontal="center" vertical="center" wrapText="1"/>
    </xf>
    <xf numFmtId="0" fontId="58" fillId="0" borderId="2" xfId="0" applyFont="1" applyBorder="1" applyAlignment="1">
      <alignment horizontal="left" vertical="center" wrapText="1"/>
    </xf>
    <xf numFmtId="168" fontId="3" fillId="0" borderId="1" xfId="0" applyNumberFormat="1" applyFont="1" applyBorder="1" applyAlignment="1">
      <alignment horizontal="right" vertical="center" wrapText="1"/>
    </xf>
    <xf numFmtId="165" fontId="5" fillId="0" borderId="41" xfId="0" applyNumberFormat="1" applyFont="1" applyBorder="1" applyAlignment="1">
      <alignment horizontal="center" vertical="center"/>
    </xf>
    <xf numFmtId="0" fontId="4" fillId="0" borderId="52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46" xfId="0" applyFont="1" applyBorder="1" applyAlignment="1">
      <alignment vertical="center"/>
    </xf>
    <xf numFmtId="0" fontId="4" fillId="0" borderId="41" xfId="0" applyFont="1" applyBorder="1" applyAlignment="1">
      <alignment vertical="center" wrapText="1"/>
    </xf>
    <xf numFmtId="0" fontId="4" fillId="0" borderId="53" xfId="0" applyFont="1" applyBorder="1" applyAlignment="1">
      <alignment vertical="center" wrapText="1"/>
    </xf>
    <xf numFmtId="0" fontId="4" fillId="0" borderId="44" xfId="0" applyFont="1" applyBorder="1" applyAlignment="1">
      <alignment horizontal="left" vertical="center" wrapText="1"/>
    </xf>
    <xf numFmtId="165" fontId="5" fillId="0" borderId="44" xfId="0" applyNumberFormat="1" applyFont="1" applyBorder="1" applyAlignment="1">
      <alignment horizontal="center" vertical="center"/>
    </xf>
    <xf numFmtId="165" fontId="5" fillId="0" borderId="33" xfId="0" applyNumberFormat="1" applyFont="1" applyBorder="1" applyAlignment="1">
      <alignment horizontal="center" vertical="center"/>
    </xf>
    <xf numFmtId="0" fontId="4" fillId="0" borderId="37" xfId="0" applyFont="1" applyBorder="1" applyAlignment="1">
      <alignment horizontal="left" vertical="center" wrapText="1"/>
    </xf>
    <xf numFmtId="165" fontId="5" fillId="0" borderId="37" xfId="0" applyNumberFormat="1" applyFont="1" applyBorder="1" applyAlignment="1">
      <alignment horizontal="center" vertical="center"/>
    </xf>
    <xf numFmtId="4" fontId="47" fillId="0" borderId="63" xfId="5" applyNumberFormat="1" applyFont="1" applyBorder="1" applyAlignment="1">
      <alignment horizontal="center" vertical="center" wrapText="1"/>
    </xf>
    <xf numFmtId="0" fontId="62" fillId="0" borderId="0" xfId="0" applyFont="1"/>
    <xf numFmtId="0" fontId="62" fillId="0" borderId="0" xfId="0" applyFont="1" applyAlignment="1">
      <alignment vertical="center"/>
    </xf>
    <xf numFmtId="4" fontId="62" fillId="0" borderId="0" xfId="6" applyNumberFormat="1" applyFont="1" applyAlignment="1">
      <alignment horizontal="center" vertical="center"/>
    </xf>
    <xf numFmtId="2" fontId="62" fillId="0" borderId="0" xfId="0" applyNumberFormat="1" applyFont="1" applyAlignment="1">
      <alignment vertical="center"/>
    </xf>
    <xf numFmtId="4" fontId="20" fillId="8" borderId="1" xfId="5" applyNumberFormat="1" applyFont="1" applyFill="1" applyBorder="1" applyAlignment="1">
      <alignment horizontal="center" vertical="center" wrapText="1"/>
    </xf>
    <xf numFmtId="4" fontId="1" fillId="5" borderId="1" xfId="6" applyNumberFormat="1" applyFont="1" applyFill="1" applyBorder="1" applyAlignment="1">
      <alignment horizontal="center" vertical="center"/>
    </xf>
    <xf numFmtId="4" fontId="63" fillId="0" borderId="0" xfId="6" applyNumberFormat="1" applyFont="1" applyAlignment="1">
      <alignment horizontal="center" vertical="center"/>
    </xf>
    <xf numFmtId="4" fontId="20" fillId="8" borderId="64" xfId="0" applyNumberFormat="1" applyFont="1" applyFill="1" applyBorder="1" applyAlignment="1">
      <alignment horizontal="center" vertical="center"/>
    </xf>
    <xf numFmtId="4" fontId="1" fillId="5" borderId="64" xfId="0" applyNumberFormat="1" applyFont="1" applyFill="1" applyBorder="1" applyAlignment="1">
      <alignment horizontal="center" vertical="center"/>
    </xf>
    <xf numFmtId="0" fontId="63" fillId="0" borderId="0" xfId="0" applyFont="1" applyAlignment="1">
      <alignment vertical="center"/>
    </xf>
    <xf numFmtId="43" fontId="0" fillId="0" borderId="0" xfId="0" applyNumberFormat="1" applyAlignment="1">
      <alignment vertical="center"/>
    </xf>
    <xf numFmtId="49" fontId="1" fillId="5" borderId="41" xfId="5" applyNumberFormat="1" applyFont="1" applyFill="1" applyBorder="1" applyAlignment="1">
      <alignment horizontal="left" vertical="center" wrapText="1"/>
    </xf>
    <xf numFmtId="0" fontId="13" fillId="4" borderId="65" xfId="0" applyFont="1" applyFill="1" applyBorder="1" applyAlignment="1">
      <alignment horizontal="center" vertical="center" wrapText="1"/>
    </xf>
    <xf numFmtId="2" fontId="1" fillId="0" borderId="46" xfId="5" applyNumberFormat="1" applyFont="1" applyBorder="1" applyAlignment="1">
      <alignment horizontal="center" vertical="center" wrapText="1"/>
    </xf>
    <xf numFmtId="0" fontId="45" fillId="0" borderId="0" xfId="0" applyFont="1" applyAlignment="1">
      <alignment wrapText="1"/>
    </xf>
    <xf numFmtId="9" fontId="1" fillId="5" borderId="52" xfId="5" applyNumberFormat="1" applyFont="1" applyFill="1" applyBorder="1" applyAlignment="1">
      <alignment horizontal="center" vertical="center" wrapText="1"/>
    </xf>
    <xf numFmtId="0" fontId="52" fillId="0" borderId="52" xfId="0" applyFont="1" applyBorder="1" applyAlignment="1">
      <alignment horizontal="left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3" fillId="4" borderId="66" xfId="0" applyFont="1" applyFill="1" applyBorder="1" applyAlignment="1">
      <alignment horizontal="center" vertical="center" wrapText="1"/>
    </xf>
    <xf numFmtId="0" fontId="46" fillId="0" borderId="67" xfId="0" applyFont="1" applyBorder="1" applyAlignment="1">
      <alignment horizontal="left" vertical="center" wrapText="1"/>
    </xf>
    <xf numFmtId="0" fontId="46" fillId="0" borderId="3" xfId="0" applyFont="1" applyBorder="1" applyAlignment="1">
      <alignment horizontal="center" vertical="center" wrapText="1"/>
    </xf>
    <xf numFmtId="165" fontId="46" fillId="0" borderId="67" xfId="0" applyNumberFormat="1" applyFont="1" applyBorder="1" applyAlignment="1">
      <alignment horizontal="center" vertical="center" wrapText="1"/>
    </xf>
    <xf numFmtId="0" fontId="46" fillId="0" borderId="30" xfId="0" applyFont="1" applyBorder="1" applyAlignment="1">
      <alignment horizontal="left" vertical="center" wrapText="1"/>
    </xf>
    <xf numFmtId="165" fontId="46" fillId="0" borderId="30" xfId="0" applyNumberFormat="1" applyFont="1" applyBorder="1" applyAlignment="1">
      <alignment horizontal="center" vertical="center" wrapText="1"/>
    </xf>
    <xf numFmtId="165" fontId="4" fillId="5" borderId="30" xfId="0" applyNumberFormat="1" applyFont="1" applyFill="1" applyBorder="1" applyAlignment="1">
      <alignment horizontal="right" vertical="center" wrapText="1"/>
    </xf>
    <xf numFmtId="165" fontId="3" fillId="0" borderId="30" xfId="0" applyNumberFormat="1" applyFont="1" applyBorder="1" applyAlignment="1">
      <alignment vertical="center"/>
    </xf>
    <xf numFmtId="167" fontId="3" fillId="4" borderId="66" xfId="0" applyNumberFormat="1" applyFont="1" applyFill="1" applyBorder="1" applyAlignment="1">
      <alignment horizontal="center" vertical="center" wrapText="1"/>
    </xf>
    <xf numFmtId="9" fontId="65" fillId="10" borderId="53" xfId="0" applyNumberFormat="1" applyFont="1" applyFill="1" applyBorder="1"/>
    <xf numFmtId="40" fontId="34" fillId="0" borderId="4" xfId="0" applyNumberFormat="1" applyFont="1" applyBorder="1"/>
    <xf numFmtId="9" fontId="34" fillId="0" borderId="54" xfId="0" applyNumberFormat="1" applyFont="1" applyBorder="1"/>
    <xf numFmtId="10" fontId="34" fillId="6" borderId="4" xfId="0" applyNumberFormat="1" applyFont="1" applyFill="1" applyBorder="1"/>
    <xf numFmtId="0" fontId="4" fillId="0" borderId="62" xfId="0" applyFont="1" applyBorder="1" applyAlignment="1">
      <alignment horizontal="center" vertical="center" wrapText="1"/>
    </xf>
    <xf numFmtId="0" fontId="4" fillId="5" borderId="62" xfId="0" applyFont="1" applyFill="1" applyBorder="1" applyAlignment="1">
      <alignment horizontal="center" vertical="center" wrapText="1"/>
    </xf>
    <xf numFmtId="0" fontId="3" fillId="5" borderId="62" xfId="0" applyFont="1" applyFill="1" applyBorder="1" applyAlignment="1">
      <alignment horizontal="center" vertical="center" wrapText="1"/>
    </xf>
    <xf numFmtId="0" fontId="3" fillId="5" borderId="68" xfId="0" applyFont="1" applyFill="1" applyBorder="1" applyAlignment="1">
      <alignment horizontal="left" vertical="center" wrapText="1"/>
    </xf>
    <xf numFmtId="0" fontId="3" fillId="5" borderId="68" xfId="0" applyFont="1" applyFill="1" applyBorder="1" applyAlignment="1">
      <alignment horizontal="center" vertical="center" wrapText="1"/>
    </xf>
    <xf numFmtId="165" fontId="5" fillId="5" borderId="68" xfId="0" applyNumberFormat="1" applyFont="1" applyFill="1" applyBorder="1" applyAlignment="1">
      <alignment horizontal="center" vertical="center" wrapText="1"/>
    </xf>
    <xf numFmtId="0" fontId="4" fillId="5" borderId="68" xfId="0" applyFont="1" applyFill="1" applyBorder="1" applyAlignment="1">
      <alignment horizontal="center" vertical="center" wrapText="1"/>
    </xf>
    <xf numFmtId="168" fontId="4" fillId="5" borderId="68" xfId="0" applyNumberFormat="1" applyFont="1" applyFill="1" applyBorder="1" applyAlignment="1">
      <alignment horizontal="center" vertical="center" wrapText="1"/>
    </xf>
    <xf numFmtId="167" fontId="3" fillId="5" borderId="62" xfId="0" applyNumberFormat="1" applyFont="1" applyFill="1" applyBorder="1" applyAlignment="1">
      <alignment horizontal="center" vertical="center" wrapText="1"/>
    </xf>
    <xf numFmtId="10" fontId="3" fillId="0" borderId="63" xfId="0" applyNumberFormat="1" applyFont="1" applyBorder="1" applyAlignment="1">
      <alignment vertical="center"/>
    </xf>
    <xf numFmtId="0" fontId="4" fillId="0" borderId="61" xfId="0" applyFont="1" applyBorder="1" applyAlignment="1">
      <alignment horizontal="center" vertical="center" wrapText="1"/>
    </xf>
    <xf numFmtId="0" fontId="4" fillId="5" borderId="61" xfId="0" applyFont="1" applyFill="1" applyBorder="1" applyAlignment="1">
      <alignment horizontal="center" vertical="center" wrapText="1"/>
    </xf>
    <xf numFmtId="0" fontId="4" fillId="0" borderId="61" xfId="0" applyFont="1" applyBorder="1" applyAlignment="1">
      <alignment horizontal="left" vertical="center" wrapText="1"/>
    </xf>
    <xf numFmtId="165" fontId="5" fillId="0" borderId="61" xfId="0" applyNumberFormat="1" applyFont="1" applyBorder="1" applyAlignment="1">
      <alignment horizontal="center" vertical="center" wrapText="1"/>
    </xf>
    <xf numFmtId="165" fontId="4" fillId="5" borderId="61" xfId="0" applyNumberFormat="1" applyFont="1" applyFill="1" applyBorder="1" applyAlignment="1">
      <alignment horizontal="right" vertical="center" wrapText="1"/>
    </xf>
    <xf numFmtId="10" fontId="3" fillId="0" borderId="61" xfId="0" applyNumberFormat="1" applyFont="1" applyBorder="1" applyAlignment="1">
      <alignment vertical="center"/>
    </xf>
    <xf numFmtId="0" fontId="51" fillId="5" borderId="41" xfId="0" applyFont="1" applyFill="1" applyBorder="1" applyAlignment="1">
      <alignment horizontal="center" vertical="center" wrapText="1"/>
    </xf>
    <xf numFmtId="0" fontId="51" fillId="0" borderId="1" xfId="0" applyFont="1" applyBorder="1" applyAlignment="1">
      <alignment horizontal="center" vertical="center" wrapText="1"/>
    </xf>
    <xf numFmtId="165" fontId="66" fillId="0" borderId="1" xfId="0" applyNumberFormat="1" applyFont="1" applyBorder="1" applyAlignment="1">
      <alignment horizontal="center" vertical="center" wrapText="1"/>
    </xf>
    <xf numFmtId="168" fontId="51" fillId="0" borderId="1" xfId="0" applyNumberFormat="1" applyFont="1" applyBorder="1" applyAlignment="1">
      <alignment horizontal="center" vertical="center" wrapText="1"/>
    </xf>
    <xf numFmtId="168" fontId="51" fillId="5" borderId="1" xfId="0" applyNumberFormat="1" applyFont="1" applyFill="1" applyBorder="1" applyAlignment="1">
      <alignment horizontal="center" vertical="center" wrapText="1"/>
    </xf>
    <xf numFmtId="0" fontId="51" fillId="5" borderId="30" xfId="0" applyFont="1" applyFill="1" applyBorder="1" applyAlignment="1">
      <alignment horizontal="center" vertical="center" wrapText="1"/>
    </xf>
    <xf numFmtId="0" fontId="51" fillId="0" borderId="1" xfId="0" applyFont="1" applyBorder="1" applyAlignment="1">
      <alignment horizontal="left" vertical="center" wrapText="1"/>
    </xf>
    <xf numFmtId="0" fontId="46" fillId="0" borderId="62" xfId="0" applyFont="1" applyBorder="1" applyAlignment="1">
      <alignment horizontal="center" vertical="center" wrapText="1"/>
    </xf>
    <xf numFmtId="0" fontId="46" fillId="5" borderId="62" xfId="0" applyFont="1" applyFill="1" applyBorder="1" applyAlignment="1">
      <alignment horizontal="center" vertical="center" wrapText="1"/>
    </xf>
    <xf numFmtId="0" fontId="51" fillId="5" borderId="62" xfId="0" applyFont="1" applyFill="1" applyBorder="1" applyAlignment="1">
      <alignment horizontal="center" vertical="center" wrapText="1"/>
    </xf>
    <xf numFmtId="0" fontId="51" fillId="5" borderId="68" xfId="0" applyFont="1" applyFill="1" applyBorder="1" applyAlignment="1">
      <alignment horizontal="left" vertical="center" wrapText="1"/>
    </xf>
    <xf numFmtId="0" fontId="51" fillId="5" borderId="68" xfId="0" applyFont="1" applyFill="1" applyBorder="1" applyAlignment="1">
      <alignment horizontal="center" vertical="center" wrapText="1"/>
    </xf>
    <xf numFmtId="165" fontId="57" fillId="5" borderId="68" xfId="0" applyNumberFormat="1" applyFont="1" applyFill="1" applyBorder="1" applyAlignment="1">
      <alignment horizontal="center" vertical="center" wrapText="1"/>
    </xf>
    <xf numFmtId="0" fontId="46" fillId="5" borderId="68" xfId="0" applyFont="1" applyFill="1" applyBorder="1" applyAlignment="1">
      <alignment horizontal="center" vertical="center" wrapText="1"/>
    </xf>
    <xf numFmtId="168" fontId="46" fillId="5" borderId="68" xfId="0" applyNumberFormat="1" applyFont="1" applyFill="1" applyBorder="1" applyAlignment="1">
      <alignment horizontal="center" vertical="center" wrapText="1"/>
    </xf>
    <xf numFmtId="167" fontId="51" fillId="5" borderId="62" xfId="0" applyNumberFormat="1" applyFont="1" applyFill="1" applyBorder="1" applyAlignment="1">
      <alignment horizontal="center" vertical="center" wrapText="1"/>
    </xf>
    <xf numFmtId="10" fontId="51" fillId="0" borderId="63" xfId="0" applyNumberFormat="1" applyFont="1" applyBorder="1" applyAlignment="1">
      <alignment vertical="center"/>
    </xf>
    <xf numFmtId="0" fontId="66" fillId="4" borderId="1" xfId="0" applyFont="1" applyFill="1" applyBorder="1" applyAlignment="1">
      <alignment vertical="center" wrapText="1"/>
    </xf>
    <xf numFmtId="0" fontId="66" fillId="4" borderId="1" xfId="0" applyFont="1" applyFill="1" applyBorder="1" applyAlignment="1">
      <alignment horizontal="center" vertical="center" wrapText="1"/>
    </xf>
    <xf numFmtId="165" fontId="66" fillId="4" borderId="1" xfId="0" applyNumberFormat="1" applyFont="1" applyFill="1" applyBorder="1" applyAlignment="1">
      <alignment horizontal="center" vertical="center" wrapText="1"/>
    </xf>
    <xf numFmtId="168" fontId="66" fillId="4" borderId="1" xfId="0" applyNumberFormat="1" applyFont="1" applyFill="1" applyBorder="1" applyAlignment="1">
      <alignment horizontal="center" vertical="center" wrapText="1"/>
    </xf>
    <xf numFmtId="0" fontId="1" fillId="0" borderId="41" xfId="5" applyFont="1" applyBorder="1" applyAlignment="1">
      <alignment horizontal="center" vertical="center"/>
    </xf>
    <xf numFmtId="0" fontId="67" fillId="0" borderId="0" xfId="0" applyFont="1"/>
    <xf numFmtId="0" fontId="68" fillId="0" borderId="0" xfId="0" applyFont="1"/>
    <xf numFmtId="4" fontId="3" fillId="3" borderId="30" xfId="0" applyNumberFormat="1" applyFont="1" applyFill="1" applyBorder="1" applyAlignment="1">
      <alignment horizontal="center" vertical="center" wrapText="1"/>
    </xf>
    <xf numFmtId="0" fontId="4" fillId="16" borderId="30" xfId="0" applyFont="1" applyFill="1" applyBorder="1" applyAlignment="1">
      <alignment horizontal="center" vertical="center" wrapText="1"/>
    </xf>
    <xf numFmtId="0" fontId="4" fillId="17" borderId="30" xfId="0" applyFont="1" applyFill="1" applyBorder="1" applyAlignment="1">
      <alignment horizontal="center" vertical="center" wrapText="1"/>
    </xf>
    <xf numFmtId="165" fontId="4" fillId="16" borderId="30" xfId="0" applyNumberFormat="1" applyFont="1" applyFill="1" applyBorder="1" applyAlignment="1">
      <alignment horizontal="center" vertical="center" wrapText="1"/>
    </xf>
    <xf numFmtId="0" fontId="4" fillId="16" borderId="30" xfId="0" applyFont="1" applyFill="1" applyBorder="1" applyAlignment="1">
      <alignment vertical="center" wrapText="1"/>
    </xf>
    <xf numFmtId="165" fontId="5" fillId="16" borderId="30" xfId="0" applyNumberFormat="1" applyFont="1" applyFill="1" applyBorder="1" applyAlignment="1">
      <alignment horizontal="center" vertical="center" wrapText="1"/>
    </xf>
    <xf numFmtId="165" fontId="4" fillId="17" borderId="30" xfId="0" applyNumberFormat="1" applyFont="1" applyFill="1" applyBorder="1" applyAlignment="1">
      <alignment horizontal="center" vertical="center" wrapText="1"/>
    </xf>
    <xf numFmtId="0" fontId="5" fillId="16" borderId="30" xfId="0" applyFont="1" applyFill="1" applyBorder="1" applyAlignment="1">
      <alignment horizontal="center" vertical="center" wrapText="1"/>
    </xf>
    <xf numFmtId="165" fontId="5" fillId="18" borderId="30" xfId="0" applyNumberFormat="1" applyFont="1" applyFill="1" applyBorder="1" applyAlignment="1">
      <alignment horizontal="center" vertical="center" wrapText="1"/>
    </xf>
    <xf numFmtId="165" fontId="46" fillId="18" borderId="30" xfId="0" applyNumberFormat="1" applyFont="1" applyFill="1" applyBorder="1" applyAlignment="1">
      <alignment horizontal="center" vertical="center" wrapText="1"/>
    </xf>
    <xf numFmtId="165" fontId="4" fillId="18" borderId="30" xfId="0" applyNumberFormat="1" applyFont="1" applyFill="1" applyBorder="1" applyAlignment="1">
      <alignment horizontal="center" vertical="center" wrapText="1"/>
    </xf>
    <xf numFmtId="0" fontId="5" fillId="18" borderId="30" xfId="0" applyFont="1" applyFill="1" applyBorder="1" applyAlignment="1">
      <alignment horizontal="center" vertical="center" wrapText="1"/>
    </xf>
    <xf numFmtId="165" fontId="4" fillId="19" borderId="30" xfId="0" applyNumberFormat="1" applyFont="1" applyFill="1" applyBorder="1" applyAlignment="1">
      <alignment horizontal="center" vertical="center" wrapText="1"/>
    </xf>
    <xf numFmtId="0" fontId="5" fillId="19" borderId="30" xfId="0" applyFont="1" applyFill="1" applyBorder="1" applyAlignment="1">
      <alignment horizontal="center" vertical="center" wrapText="1"/>
    </xf>
    <xf numFmtId="0" fontId="5" fillId="18" borderId="30" xfId="0" applyFont="1" applyFill="1" applyBorder="1" applyAlignment="1">
      <alignment horizontal="left" vertical="center" wrapText="1"/>
    </xf>
    <xf numFmtId="0" fontId="3" fillId="3" borderId="44" xfId="0" applyFont="1" applyFill="1" applyBorder="1" applyAlignment="1">
      <alignment horizontal="center" vertical="center" wrapText="1"/>
    </xf>
    <xf numFmtId="165" fontId="13" fillId="3" borderId="44" xfId="0" applyNumberFormat="1" applyFont="1" applyFill="1" applyBorder="1" applyAlignment="1">
      <alignment horizontal="center" vertical="center" wrapText="1"/>
    </xf>
    <xf numFmtId="4" fontId="3" fillId="3" borderId="44" xfId="0" applyNumberFormat="1" applyFont="1" applyFill="1" applyBorder="1" applyAlignment="1">
      <alignment horizontal="center" vertical="center" wrapText="1"/>
    </xf>
    <xf numFmtId="0" fontId="5" fillId="18" borderId="30" xfId="6" applyFont="1" applyFill="1" applyBorder="1" applyAlignment="1">
      <alignment horizontal="center" vertical="center" wrapText="1"/>
    </xf>
    <xf numFmtId="0" fontId="57" fillId="19" borderId="30" xfId="6" applyFont="1" applyFill="1" applyBorder="1" applyAlignment="1">
      <alignment horizontal="center" vertical="center" wrapText="1"/>
    </xf>
    <xf numFmtId="0" fontId="57" fillId="18" borderId="30" xfId="6" applyFont="1" applyFill="1" applyBorder="1" applyAlignment="1">
      <alignment vertical="center" wrapText="1"/>
    </xf>
    <xf numFmtId="0" fontId="4" fillId="18" borderId="30" xfId="6" applyFont="1" applyFill="1" applyBorder="1" applyAlignment="1">
      <alignment horizontal="center" vertical="center" wrapText="1"/>
    </xf>
    <xf numFmtId="165" fontId="57" fillId="18" borderId="30" xfId="6" applyNumberFormat="1" applyFont="1" applyFill="1" applyBorder="1" applyAlignment="1">
      <alignment horizontal="center" vertical="center" wrapText="1"/>
    </xf>
    <xf numFmtId="165" fontId="46" fillId="19" borderId="30" xfId="0" applyNumberFormat="1" applyFont="1" applyFill="1" applyBorder="1" applyAlignment="1">
      <alignment horizontal="center" vertical="center" wrapText="1"/>
    </xf>
    <xf numFmtId="165" fontId="46" fillId="19" borderId="30" xfId="6" applyNumberFormat="1" applyFont="1" applyFill="1" applyBorder="1" applyAlignment="1">
      <alignment horizontal="center" vertical="center" wrapText="1"/>
    </xf>
    <xf numFmtId="10" fontId="4" fillId="19" borderId="30" xfId="12" applyNumberFormat="1" applyFont="1" applyFill="1" applyBorder="1" applyAlignment="1">
      <alignment horizontal="center" vertical="center" wrapText="1"/>
    </xf>
    <xf numFmtId="0" fontId="4" fillId="19" borderId="30" xfId="6" applyFont="1" applyFill="1" applyBorder="1" applyAlignment="1">
      <alignment horizontal="center" vertical="center" wrapText="1"/>
    </xf>
    <xf numFmtId="0" fontId="4" fillId="18" borderId="30" xfId="6" applyFont="1" applyFill="1" applyBorder="1" applyAlignment="1">
      <alignment horizontal="left" vertical="center" wrapText="1"/>
    </xf>
    <xf numFmtId="165" fontId="4" fillId="18" borderId="30" xfId="6" applyNumberFormat="1" applyFont="1" applyFill="1" applyBorder="1" applyAlignment="1">
      <alignment horizontal="center" vertical="center" wrapText="1"/>
    </xf>
    <xf numFmtId="165" fontId="4" fillId="19" borderId="30" xfId="6" applyNumberFormat="1" applyFont="1" applyFill="1" applyBorder="1" applyAlignment="1">
      <alignment horizontal="center" vertical="center" wrapText="1"/>
    </xf>
    <xf numFmtId="165" fontId="5" fillId="19" borderId="30" xfId="6" applyNumberFormat="1" applyFont="1" applyFill="1" applyBorder="1" applyAlignment="1">
      <alignment horizontal="center" vertical="center" wrapText="1"/>
    </xf>
    <xf numFmtId="165" fontId="5" fillId="19" borderId="30" xfId="0" applyNumberFormat="1" applyFont="1" applyFill="1" applyBorder="1" applyAlignment="1">
      <alignment horizontal="center" vertical="center" wrapText="1"/>
    </xf>
    <xf numFmtId="165" fontId="4" fillId="17" borderId="30" xfId="6" applyNumberFormat="1" applyFont="1" applyFill="1" applyBorder="1" applyAlignment="1">
      <alignment horizontal="center" vertical="center" wrapText="1"/>
    </xf>
    <xf numFmtId="10" fontId="4" fillId="17" borderId="30" xfId="12" applyNumberFormat="1" applyFont="1" applyFill="1" applyBorder="1" applyAlignment="1">
      <alignment horizontal="center" vertical="center" wrapText="1"/>
    </xf>
    <xf numFmtId="0" fontId="4" fillId="16" borderId="30" xfId="6" applyFont="1" applyFill="1" applyBorder="1" applyAlignment="1">
      <alignment horizontal="center" vertical="center" wrapText="1"/>
    </xf>
    <xf numFmtId="0" fontId="4" fillId="17" borderId="30" xfId="6" applyFont="1" applyFill="1" applyBorder="1" applyAlignment="1">
      <alignment horizontal="center" vertical="center" wrapText="1"/>
    </xf>
    <xf numFmtId="0" fontId="5" fillId="16" borderId="30" xfId="0" applyFont="1" applyFill="1" applyBorder="1" applyAlignment="1">
      <alignment horizontal="left" vertical="center" wrapText="1"/>
    </xf>
    <xf numFmtId="0" fontId="4" fillId="16" borderId="30" xfId="6" applyFont="1" applyFill="1" applyBorder="1" applyAlignment="1">
      <alignment horizontal="left" vertical="center" wrapText="1"/>
    </xf>
    <xf numFmtId="165" fontId="4" fillId="16" borderId="30" xfId="6" applyNumberFormat="1" applyFont="1" applyFill="1" applyBorder="1" applyAlignment="1">
      <alignment horizontal="center" vertical="center" wrapText="1"/>
    </xf>
    <xf numFmtId="165" fontId="5" fillId="17" borderId="30" xfId="6" applyNumberFormat="1" applyFont="1" applyFill="1" applyBorder="1" applyAlignment="1">
      <alignment horizontal="center" vertical="center" wrapText="1"/>
    </xf>
    <xf numFmtId="165" fontId="5" fillId="16" borderId="30" xfId="6" applyNumberFormat="1" applyFont="1" applyFill="1" applyBorder="1" applyAlignment="1">
      <alignment horizontal="center" vertical="center" wrapText="1"/>
    </xf>
    <xf numFmtId="0" fontId="5" fillId="16" borderId="30" xfId="6" applyFont="1" applyFill="1" applyBorder="1" applyAlignment="1">
      <alignment horizontal="center" vertical="center" wrapText="1"/>
    </xf>
    <xf numFmtId="0" fontId="5" fillId="16" borderId="30" xfId="6" applyFont="1" applyFill="1" applyBorder="1" applyAlignment="1">
      <alignment vertical="center" wrapText="1"/>
    </xf>
    <xf numFmtId="0" fontId="4" fillId="20" borderId="30" xfId="6" applyFont="1" applyFill="1" applyBorder="1" applyAlignment="1">
      <alignment horizontal="center" vertical="center" wrapText="1"/>
    </xf>
    <xf numFmtId="0" fontId="4" fillId="21" borderId="30" xfId="6" applyFont="1" applyFill="1" applyBorder="1" applyAlignment="1">
      <alignment horizontal="center" vertical="center" wrapText="1"/>
    </xf>
    <xf numFmtId="0" fontId="4" fillId="20" borderId="30" xfId="6" applyFont="1" applyFill="1" applyBorder="1" applyAlignment="1">
      <alignment horizontal="left" vertical="center" wrapText="1"/>
    </xf>
    <xf numFmtId="165" fontId="4" fillId="20" borderId="30" xfId="6" applyNumberFormat="1" applyFont="1" applyFill="1" applyBorder="1" applyAlignment="1">
      <alignment horizontal="center" vertical="center" wrapText="1"/>
    </xf>
    <xf numFmtId="165" fontId="4" fillId="20" borderId="30" xfId="0" applyNumberFormat="1" applyFont="1" applyFill="1" applyBorder="1" applyAlignment="1">
      <alignment horizontal="center" vertical="center" wrapText="1"/>
    </xf>
    <xf numFmtId="165" fontId="4" fillId="21" borderId="30" xfId="0" applyNumberFormat="1" applyFont="1" applyFill="1" applyBorder="1" applyAlignment="1">
      <alignment horizontal="center" vertical="center" wrapText="1"/>
    </xf>
    <xf numFmtId="165" fontId="4" fillId="21" borderId="30" xfId="6" applyNumberFormat="1" applyFont="1" applyFill="1" applyBorder="1" applyAlignment="1">
      <alignment horizontal="center" vertical="center" wrapText="1"/>
    </xf>
    <xf numFmtId="10" fontId="4" fillId="21" borderId="30" xfId="12" applyNumberFormat="1" applyFont="1" applyFill="1" applyBorder="1" applyAlignment="1">
      <alignment horizontal="center" vertical="center" wrapText="1"/>
    </xf>
    <xf numFmtId="165" fontId="5" fillId="20" borderId="30" xfId="6" applyNumberFormat="1" applyFont="1" applyFill="1" applyBorder="1" applyAlignment="1">
      <alignment horizontal="center" vertical="center" wrapText="1"/>
    </xf>
    <xf numFmtId="0" fontId="4" fillId="20" borderId="30" xfId="0" applyFont="1" applyFill="1" applyBorder="1" applyAlignment="1">
      <alignment horizontal="center" vertical="center" wrapText="1"/>
    </xf>
    <xf numFmtId="0" fontId="4" fillId="21" borderId="30" xfId="0" applyFont="1" applyFill="1" applyBorder="1" applyAlignment="1">
      <alignment horizontal="center" vertical="center" wrapText="1"/>
    </xf>
    <xf numFmtId="0" fontId="57" fillId="20" borderId="30" xfId="6" applyFont="1" applyFill="1" applyBorder="1" applyAlignment="1">
      <alignment vertical="center" wrapText="1"/>
    </xf>
    <xf numFmtId="0" fontId="4" fillId="20" borderId="30" xfId="0" applyFont="1" applyFill="1" applyBorder="1" applyAlignment="1">
      <alignment horizontal="center" vertical="center"/>
    </xf>
    <xf numFmtId="0" fontId="4" fillId="20" borderId="30" xfId="6" applyFont="1" applyFill="1" applyBorder="1" applyAlignment="1">
      <alignment vertical="center" wrapText="1"/>
    </xf>
    <xf numFmtId="165" fontId="5" fillId="21" borderId="30" xfId="6" applyNumberFormat="1" applyFont="1" applyFill="1" applyBorder="1" applyAlignment="1">
      <alignment horizontal="center" vertical="center" wrapText="1"/>
    </xf>
    <xf numFmtId="165" fontId="4" fillId="20" borderId="30" xfId="0" applyNumberFormat="1" applyFont="1" applyFill="1" applyBorder="1" applyAlignment="1">
      <alignment horizontal="center" vertical="center"/>
    </xf>
    <xf numFmtId="166" fontId="10" fillId="0" borderId="0" xfId="0" applyNumberFormat="1" applyFont="1" applyAlignment="1">
      <alignment horizontal="left" vertical="center" wrapText="1"/>
    </xf>
    <xf numFmtId="4" fontId="3" fillId="3" borderId="4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4" fillId="0" borderId="41" xfId="0" applyFont="1" applyBorder="1" applyAlignment="1">
      <alignment horizontal="left" vertical="center" wrapText="1"/>
    </xf>
    <xf numFmtId="4" fontId="3" fillId="3" borderId="41" xfId="0" applyNumberFormat="1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31" xfId="6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49" fontId="3" fillId="0" borderId="0" xfId="0" applyNumberFormat="1" applyFont="1" applyAlignment="1">
      <alignment horizontal="left" vertical="center" wrapText="1"/>
    </xf>
    <xf numFmtId="49" fontId="6" fillId="0" borderId="0" xfId="0" applyNumberFormat="1" applyFont="1" applyAlignment="1">
      <alignment horizontal="left" vertical="center" wrapText="1"/>
    </xf>
    <xf numFmtId="0" fontId="3" fillId="0" borderId="32" xfId="0" applyFont="1" applyBorder="1" applyAlignment="1">
      <alignment horizontal="left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3" fillId="3" borderId="41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166" fontId="10" fillId="0" borderId="0" xfId="0" applyNumberFormat="1" applyFont="1" applyAlignment="1">
      <alignment horizontal="left" vertical="center" wrapText="1"/>
    </xf>
    <xf numFmtId="165" fontId="13" fillId="3" borderId="41" xfId="0" applyNumberFormat="1" applyFont="1" applyFill="1" applyBorder="1" applyAlignment="1">
      <alignment horizontal="center" vertical="center" wrapText="1"/>
    </xf>
    <xf numFmtId="0" fontId="3" fillId="5" borderId="32" xfId="0" applyFont="1" applyFill="1" applyBorder="1" applyAlignment="1">
      <alignment horizontal="left" vertical="center" wrapText="1"/>
    </xf>
    <xf numFmtId="0" fontId="19" fillId="0" borderId="41" xfId="0" applyFont="1" applyBorder="1" applyAlignment="1">
      <alignment vertical="center"/>
    </xf>
    <xf numFmtId="0" fontId="1" fillId="5" borderId="43" xfId="5" applyFont="1" applyFill="1" applyBorder="1" applyAlignment="1">
      <alignment horizontal="left" vertical="center"/>
    </xf>
    <xf numFmtId="0" fontId="1" fillId="5" borderId="41" xfId="5" applyFont="1" applyFill="1" applyBorder="1" applyAlignment="1">
      <alignment horizontal="left" vertical="center"/>
    </xf>
    <xf numFmtId="0" fontId="20" fillId="8" borderId="41" xfId="5" applyFont="1" applyFill="1" applyBorder="1" applyAlignment="1">
      <alignment horizontal="left" vertical="center" wrapText="1"/>
    </xf>
    <xf numFmtId="49" fontId="20" fillId="8" borderId="41" xfId="5" applyNumberFormat="1" applyFont="1" applyFill="1" applyBorder="1" applyAlignment="1">
      <alignment horizontal="left" vertical="center" wrapText="1"/>
    </xf>
    <xf numFmtId="0" fontId="20" fillId="5" borderId="43" xfId="5" applyFont="1" applyFill="1" applyBorder="1" applyAlignment="1">
      <alignment horizontal="left" vertical="center"/>
    </xf>
    <xf numFmtId="0" fontId="20" fillId="5" borderId="41" xfId="5" applyFont="1" applyFill="1" applyBorder="1" applyAlignment="1">
      <alignment horizontal="left" vertical="center"/>
    </xf>
    <xf numFmtId="0" fontId="20" fillId="4" borderId="41" xfId="5" applyFont="1" applyFill="1" applyBorder="1" applyAlignment="1">
      <alignment horizontal="center" vertical="center" wrapText="1"/>
    </xf>
    <xf numFmtId="0" fontId="20" fillId="0" borderId="41" xfId="5" applyFont="1" applyBorder="1" applyAlignment="1">
      <alignment horizontal="left" vertical="center"/>
    </xf>
    <xf numFmtId="0" fontId="48" fillId="0" borderId="41" xfId="5" applyFont="1" applyBorder="1" applyAlignment="1">
      <alignment horizontal="left" vertical="center"/>
    </xf>
    <xf numFmtId="0" fontId="48" fillId="5" borderId="43" xfId="5" applyFont="1" applyFill="1" applyBorder="1" applyAlignment="1">
      <alignment horizontal="left" vertical="center"/>
    </xf>
    <xf numFmtId="0" fontId="48" fillId="5" borderId="1" xfId="5" applyFont="1" applyFill="1" applyBorder="1" applyAlignment="1">
      <alignment horizontal="left" vertical="center"/>
    </xf>
    <xf numFmtId="0" fontId="48" fillId="5" borderId="2" xfId="5" applyFont="1" applyFill="1" applyBorder="1" applyAlignment="1">
      <alignment horizontal="left" vertical="center"/>
    </xf>
    <xf numFmtId="0" fontId="50" fillId="0" borderId="41" xfId="0" applyFont="1" applyBorder="1" applyAlignment="1">
      <alignment vertical="center"/>
    </xf>
    <xf numFmtId="0" fontId="47" fillId="8" borderId="41" xfId="5" applyFont="1" applyFill="1" applyBorder="1" applyAlignment="1">
      <alignment horizontal="left" vertical="center" wrapText="1"/>
    </xf>
    <xf numFmtId="0" fontId="48" fillId="5" borderId="41" xfId="5" applyFont="1" applyFill="1" applyBorder="1" applyAlignment="1">
      <alignment horizontal="left" vertical="center" wrapText="1"/>
    </xf>
    <xf numFmtId="0" fontId="19" fillId="0" borderId="43" xfId="0" applyFont="1" applyBorder="1" applyAlignment="1">
      <alignment vertical="center"/>
    </xf>
    <xf numFmtId="0" fontId="19" fillId="0" borderId="1" xfId="0" applyFont="1" applyBorder="1" applyAlignment="1">
      <alignment vertical="center"/>
    </xf>
    <xf numFmtId="0" fontId="19" fillId="0" borderId="2" xfId="0" applyFont="1" applyBorder="1" applyAlignment="1">
      <alignment vertical="center"/>
    </xf>
    <xf numFmtId="0" fontId="48" fillId="5" borderId="41" xfId="5" applyFont="1" applyFill="1" applyBorder="1" applyAlignment="1">
      <alignment horizontal="left" vertical="center"/>
    </xf>
    <xf numFmtId="0" fontId="47" fillId="8" borderId="43" xfId="5" applyFont="1" applyFill="1" applyBorder="1" applyAlignment="1">
      <alignment horizontal="left" vertical="center" wrapText="1"/>
    </xf>
    <xf numFmtId="49" fontId="47" fillId="8" borderId="43" xfId="5" applyNumberFormat="1" applyFont="1" applyFill="1" applyBorder="1" applyAlignment="1">
      <alignment horizontal="left" vertical="center" wrapText="1"/>
    </xf>
    <xf numFmtId="49" fontId="47" fillId="8" borderId="1" xfId="5" applyNumberFormat="1" applyFont="1" applyFill="1" applyBorder="1" applyAlignment="1">
      <alignment horizontal="left" vertical="center" wrapText="1"/>
    </xf>
    <xf numFmtId="49" fontId="47" fillId="8" borderId="2" xfId="5" applyNumberFormat="1" applyFont="1" applyFill="1" applyBorder="1" applyAlignment="1">
      <alignment horizontal="left" vertical="center" wrapText="1"/>
    </xf>
    <xf numFmtId="0" fontId="1" fillId="0" borderId="41" xfId="5" applyFont="1" applyBorder="1" applyAlignment="1">
      <alignment horizontal="left" vertical="center" wrapText="1"/>
    </xf>
    <xf numFmtId="0" fontId="1" fillId="0" borderId="41" xfId="0" applyFont="1" applyBorder="1" applyAlignment="1">
      <alignment horizontal="left" vertical="center" wrapText="1"/>
    </xf>
    <xf numFmtId="0" fontId="19" fillId="0" borderId="0" xfId="0" applyFont="1" applyAlignment="1">
      <alignment vertical="center"/>
    </xf>
    <xf numFmtId="0" fontId="1" fillId="0" borderId="41" xfId="5" applyFont="1" applyBorder="1" applyAlignment="1">
      <alignment horizontal="left" vertical="center"/>
    </xf>
    <xf numFmtId="0" fontId="47" fillId="0" borderId="41" xfId="5" applyFont="1" applyBorder="1" applyAlignment="1">
      <alignment horizontal="left" vertical="center"/>
    </xf>
    <xf numFmtId="0" fontId="23" fillId="0" borderId="41" xfId="0" applyFont="1" applyBorder="1" applyAlignment="1">
      <alignment horizontal="center" vertical="center"/>
    </xf>
    <xf numFmtId="0" fontId="0" fillId="0" borderId="41" xfId="0" applyBorder="1" applyAlignment="1">
      <alignment horizontal="left" vertical="center" wrapText="1"/>
    </xf>
    <xf numFmtId="0" fontId="0" fillId="5" borderId="41" xfId="0" applyFill="1" applyBorder="1" applyAlignment="1">
      <alignment horizontal="left" vertical="center" wrapText="1"/>
    </xf>
    <xf numFmtId="0" fontId="47" fillId="5" borderId="41" xfId="5" applyFont="1" applyFill="1" applyBorder="1" applyAlignment="1">
      <alignment horizontal="center" vertical="center" wrapText="1"/>
    </xf>
    <xf numFmtId="0" fontId="0" fillId="5" borderId="41" xfId="0" applyFill="1" applyBorder="1" applyAlignment="1">
      <alignment vertical="center" wrapText="1"/>
    </xf>
    <xf numFmtId="49" fontId="1" fillId="0" borderId="41" xfId="5" applyNumberFormat="1" applyFont="1" applyBorder="1" applyAlignment="1">
      <alignment horizontal="left" vertical="center" wrapText="1"/>
    </xf>
    <xf numFmtId="0" fontId="1" fillId="5" borderId="1" xfId="5" applyFont="1" applyFill="1" applyBorder="1" applyAlignment="1">
      <alignment horizontal="left" vertical="center"/>
    </xf>
    <xf numFmtId="0" fontId="1" fillId="5" borderId="2" xfId="5" applyFont="1" applyFill="1" applyBorder="1" applyAlignment="1">
      <alignment horizontal="left" vertical="center"/>
    </xf>
    <xf numFmtId="0" fontId="47" fillId="4" borderId="41" xfId="5" applyFont="1" applyFill="1" applyBorder="1" applyAlignment="1">
      <alignment horizontal="center" vertical="center" wrapText="1"/>
    </xf>
    <xf numFmtId="0" fontId="1" fillId="0" borderId="43" xfId="5" applyFont="1" applyBorder="1" applyAlignment="1">
      <alignment horizontal="left" vertical="center" wrapText="1"/>
    </xf>
    <xf numFmtId="0" fontId="20" fillId="0" borderId="41" xfId="5" applyFont="1" applyBorder="1" applyAlignment="1">
      <alignment horizontal="center" vertical="center"/>
    </xf>
    <xf numFmtId="0" fontId="47" fillId="0" borderId="41" xfId="5" applyFont="1" applyBorder="1" applyAlignment="1">
      <alignment horizontal="center" vertical="center"/>
    </xf>
    <xf numFmtId="0" fontId="20" fillId="4" borderId="43" xfId="5" applyFont="1" applyFill="1" applyBorder="1" applyAlignment="1">
      <alignment horizontal="center" vertical="center" wrapText="1"/>
    </xf>
    <xf numFmtId="0" fontId="20" fillId="4" borderId="1" xfId="5" applyFont="1" applyFill="1" applyBorder="1" applyAlignment="1">
      <alignment horizontal="center" vertical="center" wrapText="1"/>
    </xf>
    <xf numFmtId="0" fontId="20" fillId="4" borderId="2" xfId="5" applyFont="1" applyFill="1" applyBorder="1" applyAlignment="1">
      <alignment horizontal="center" vertical="center" wrapText="1"/>
    </xf>
    <xf numFmtId="0" fontId="1" fillId="0" borderId="41" xfId="0" applyFont="1" applyBorder="1" applyAlignment="1">
      <alignment vertical="center"/>
    </xf>
    <xf numFmtId="0" fontId="47" fillId="5" borderId="41" xfId="5" applyFont="1" applyFill="1" applyBorder="1" applyAlignment="1">
      <alignment horizontal="left" vertical="center"/>
    </xf>
    <xf numFmtId="0" fontId="20" fillId="4" borderId="45" xfId="5" applyFont="1" applyFill="1" applyBorder="1" applyAlignment="1">
      <alignment horizontal="center" vertical="center" wrapText="1"/>
    </xf>
    <xf numFmtId="0" fontId="20" fillId="8" borderId="43" xfId="5" applyFont="1" applyFill="1" applyBorder="1" applyAlignment="1">
      <alignment horizontal="left" vertical="center" wrapText="1"/>
    </xf>
    <xf numFmtId="0" fontId="20" fillId="4" borderId="44" xfId="5" applyFont="1" applyFill="1" applyBorder="1" applyAlignment="1">
      <alignment horizontal="center" vertical="center" wrapText="1"/>
    </xf>
    <xf numFmtId="0" fontId="41" fillId="4" borderId="43" xfId="0" applyFont="1" applyFill="1" applyBorder="1" applyAlignment="1">
      <alignment horizontal="center" vertical="center" wrapText="1"/>
    </xf>
    <xf numFmtId="0" fontId="20" fillId="4" borderId="43" xfId="0" applyFont="1" applyFill="1" applyBorder="1" applyAlignment="1">
      <alignment horizontal="left" vertical="center" wrapText="1"/>
    </xf>
    <xf numFmtId="49" fontId="20" fillId="0" borderId="41" xfId="5" applyNumberFormat="1" applyFont="1" applyBorder="1" applyAlignment="1">
      <alignment horizontal="left" vertical="center"/>
    </xf>
    <xf numFmtId="49" fontId="1" fillId="5" borderId="41" xfId="5" applyNumberFormat="1" applyFont="1" applyFill="1" applyBorder="1" applyAlignment="1">
      <alignment horizontal="left" vertical="center" wrapText="1"/>
    </xf>
    <xf numFmtId="0" fontId="19" fillId="0" borderId="47" xfId="0" applyFont="1" applyBorder="1" applyAlignment="1">
      <alignment vertical="center"/>
    </xf>
    <xf numFmtId="0" fontId="19" fillId="0" borderId="12" xfId="0" applyFont="1" applyBorder="1" applyAlignment="1">
      <alignment vertical="center"/>
    </xf>
    <xf numFmtId="0" fontId="23" fillId="0" borderId="31" xfId="6" applyFont="1" applyBorder="1" applyAlignment="1">
      <alignment horizontal="center" vertical="center"/>
    </xf>
    <xf numFmtId="0" fontId="20" fillId="4" borderId="53" xfId="5" applyFont="1" applyFill="1" applyBorder="1" applyAlignment="1">
      <alignment horizontal="center" vertical="center" wrapText="1"/>
    </xf>
    <xf numFmtId="49" fontId="20" fillId="5" borderId="41" xfId="5" applyNumberFormat="1" applyFont="1" applyFill="1" applyBorder="1" applyAlignment="1">
      <alignment horizontal="left" vertical="center" wrapText="1"/>
    </xf>
    <xf numFmtId="0" fontId="20" fillId="8" borderId="41" xfId="5" applyFont="1" applyFill="1" applyBorder="1" applyAlignment="1">
      <alignment horizontal="left" vertical="center"/>
    </xf>
    <xf numFmtId="0" fontId="20" fillId="8" borderId="43" xfId="5" applyFont="1" applyFill="1" applyBorder="1" applyAlignment="1">
      <alignment horizontal="left" vertical="center"/>
    </xf>
    <xf numFmtId="0" fontId="20" fillId="8" borderId="1" xfId="5" applyFont="1" applyFill="1" applyBorder="1" applyAlignment="1">
      <alignment horizontal="left" vertical="center"/>
    </xf>
    <xf numFmtId="0" fontId="20" fillId="8" borderId="2" xfId="5" applyFont="1" applyFill="1" applyBorder="1" applyAlignment="1">
      <alignment horizontal="left" vertical="center"/>
    </xf>
    <xf numFmtId="0" fontId="1" fillId="5" borderId="41" xfId="5" applyFont="1" applyFill="1" applyBorder="1" applyAlignment="1">
      <alignment horizontal="left" vertical="center" wrapText="1"/>
    </xf>
    <xf numFmtId="0" fontId="20" fillId="8" borderId="1" xfId="5" applyFont="1" applyFill="1" applyBorder="1" applyAlignment="1">
      <alignment horizontal="left" vertical="center" wrapText="1"/>
    </xf>
    <xf numFmtId="0" fontId="20" fillId="8" borderId="2" xfId="5" applyFont="1" applyFill="1" applyBorder="1" applyAlignment="1">
      <alignment horizontal="left" vertical="center" wrapText="1"/>
    </xf>
    <xf numFmtId="0" fontId="19" fillId="0" borderId="41" xfId="0" applyFont="1" applyBorder="1" applyAlignment="1">
      <alignment horizontal="left" vertical="center"/>
    </xf>
    <xf numFmtId="0" fontId="20" fillId="0" borderId="41" xfId="5" applyFont="1" applyBorder="1" applyAlignment="1">
      <alignment horizontal="left" vertical="center" wrapText="1"/>
    </xf>
    <xf numFmtId="49" fontId="20" fillId="0" borderId="41" xfId="5" applyNumberFormat="1" applyFont="1" applyBorder="1" applyAlignment="1">
      <alignment horizontal="left" vertical="center" wrapText="1"/>
    </xf>
    <xf numFmtId="49" fontId="1" fillId="5" borderId="43" xfId="5" applyNumberFormat="1" applyFont="1" applyFill="1" applyBorder="1" applyAlignment="1">
      <alignment horizontal="left" vertical="center" wrapText="1"/>
    </xf>
    <xf numFmtId="49" fontId="1" fillId="5" borderId="1" xfId="5" applyNumberFormat="1" applyFont="1" applyFill="1" applyBorder="1" applyAlignment="1">
      <alignment horizontal="left" vertical="center" wrapText="1"/>
    </xf>
    <xf numFmtId="49" fontId="1" fillId="5" borderId="2" xfId="5" applyNumberFormat="1" applyFont="1" applyFill="1" applyBorder="1" applyAlignment="1">
      <alignment horizontal="left" vertical="center" wrapText="1"/>
    </xf>
    <xf numFmtId="49" fontId="20" fillId="8" borderId="43" xfId="5" applyNumberFormat="1" applyFont="1" applyFill="1" applyBorder="1" applyAlignment="1">
      <alignment horizontal="left" vertical="center" wrapText="1"/>
    </xf>
    <xf numFmtId="49" fontId="20" fillId="0" borderId="41" xfId="5" applyNumberFormat="1" applyFont="1" applyBorder="1" applyAlignment="1">
      <alignment horizontal="center" vertical="center" wrapText="1"/>
    </xf>
    <xf numFmtId="0" fontId="48" fillId="0" borderId="41" xfId="5" applyFont="1" applyBorder="1" applyAlignment="1">
      <alignment horizontal="left" vertical="center" wrapText="1"/>
    </xf>
    <xf numFmtId="0" fontId="1" fillId="0" borderId="41" xfId="5" applyFont="1" applyBorder="1" applyAlignment="1">
      <alignment horizontal="center" vertical="center"/>
    </xf>
    <xf numFmtId="49" fontId="20" fillId="0" borderId="43" xfId="5" applyNumberFormat="1" applyFont="1" applyBorder="1" applyAlignment="1">
      <alignment horizontal="left" vertical="center" wrapText="1"/>
    </xf>
    <xf numFmtId="49" fontId="20" fillId="8" borderId="1" xfId="5" applyNumberFormat="1" applyFont="1" applyFill="1" applyBorder="1" applyAlignment="1">
      <alignment horizontal="left" vertical="center" wrapText="1"/>
    </xf>
    <xf numFmtId="49" fontId="20" fillId="8" borderId="2" xfId="5" applyNumberFormat="1" applyFont="1" applyFill="1" applyBorder="1" applyAlignment="1">
      <alignment horizontal="left" vertical="center" wrapText="1"/>
    </xf>
    <xf numFmtId="0" fontId="19" fillId="5" borderId="41" xfId="0" applyFont="1" applyFill="1" applyBorder="1" applyAlignment="1">
      <alignment horizontal="left" vertical="center"/>
    </xf>
    <xf numFmtId="0" fontId="20" fillId="0" borderId="43" xfId="5" applyFont="1" applyBorder="1" applyAlignment="1">
      <alignment horizontal="left" vertical="center" wrapText="1"/>
    </xf>
    <xf numFmtId="0" fontId="1" fillId="5" borderId="43" xfId="5" applyFont="1" applyFill="1" applyBorder="1" applyAlignment="1">
      <alignment horizontal="left" vertical="center" wrapText="1"/>
    </xf>
    <xf numFmtId="0" fontId="19" fillId="0" borderId="41" xfId="0" applyFont="1" applyBorder="1" applyAlignment="1">
      <alignment horizontal="center" vertical="center"/>
    </xf>
    <xf numFmtId="0" fontId="20" fillId="0" borderId="44" xfId="5" applyFont="1" applyBorder="1" applyAlignment="1">
      <alignment horizontal="center" vertical="center"/>
    </xf>
    <xf numFmtId="0" fontId="47" fillId="5" borderId="43" xfId="5" applyFont="1" applyFill="1" applyBorder="1" applyAlignment="1">
      <alignment horizontal="left" vertical="center"/>
    </xf>
    <xf numFmtId="0" fontId="20" fillId="0" borderId="43" xfId="5" applyFont="1" applyBorder="1" applyAlignment="1">
      <alignment horizontal="left" vertical="center"/>
    </xf>
    <xf numFmtId="0" fontId="20" fillId="0" borderId="1" xfId="5" applyFont="1" applyBorder="1" applyAlignment="1">
      <alignment horizontal="left" vertical="center"/>
    </xf>
    <xf numFmtId="0" fontId="20" fillId="0" borderId="2" xfId="5" applyFont="1" applyBorder="1" applyAlignment="1">
      <alignment horizontal="left" vertical="center"/>
    </xf>
    <xf numFmtId="0" fontId="48" fillId="11" borderId="39" xfId="0" applyFont="1" applyFill="1" applyBorder="1" applyAlignment="1">
      <alignment vertical="center"/>
    </xf>
    <xf numFmtId="0" fontId="48" fillId="11" borderId="36" xfId="0" applyFont="1" applyFill="1" applyBorder="1" applyAlignment="1">
      <alignment vertical="center"/>
    </xf>
    <xf numFmtId="0" fontId="48" fillId="11" borderId="40" xfId="0" applyFont="1" applyFill="1" applyBorder="1" applyAlignment="1">
      <alignment vertical="center"/>
    </xf>
    <xf numFmtId="0" fontId="20" fillId="8" borderId="41" xfId="5" applyFont="1" applyFill="1" applyBorder="1" applyAlignment="1">
      <alignment horizontal="justify" vertical="center" wrapText="1"/>
    </xf>
    <xf numFmtId="0" fontId="1" fillId="0" borderId="1" xfId="5" applyFont="1" applyBorder="1" applyAlignment="1">
      <alignment horizontal="left" vertical="center" wrapText="1"/>
    </xf>
    <xf numFmtId="0" fontId="1" fillId="0" borderId="2" xfId="5" applyFont="1" applyBorder="1" applyAlignment="1">
      <alignment horizontal="left" vertical="center" wrapText="1"/>
    </xf>
    <xf numFmtId="0" fontId="20" fillId="5" borderId="41" xfId="5" applyFont="1" applyFill="1" applyBorder="1" applyAlignment="1">
      <alignment horizontal="center" vertical="center" wrapText="1"/>
    </xf>
    <xf numFmtId="0" fontId="20" fillId="8" borderId="41" xfId="5" applyFont="1" applyFill="1" applyBorder="1" applyAlignment="1">
      <alignment vertical="center" wrapText="1"/>
    </xf>
    <xf numFmtId="0" fontId="19" fillId="0" borderId="41" xfId="0" applyFont="1" applyBorder="1" applyAlignment="1">
      <alignment vertical="center" wrapText="1"/>
    </xf>
    <xf numFmtId="0" fontId="20" fillId="5" borderId="41" xfId="5" applyFont="1" applyFill="1" applyBorder="1" applyAlignment="1">
      <alignment horizontal="left" vertical="center" wrapText="1"/>
    </xf>
    <xf numFmtId="0" fontId="20" fillId="4" borderId="41" xfId="0" applyFont="1" applyFill="1" applyBorder="1" applyAlignment="1">
      <alignment horizontal="left" vertical="center" wrapText="1"/>
    </xf>
    <xf numFmtId="0" fontId="20" fillId="5" borderId="41" xfId="0" applyFont="1" applyFill="1" applyBorder="1" applyAlignment="1">
      <alignment horizontal="center" vertical="center"/>
    </xf>
    <xf numFmtId="49" fontId="20" fillId="0" borderId="1" xfId="5" applyNumberFormat="1" applyFont="1" applyBorder="1" applyAlignment="1">
      <alignment horizontal="left" vertical="center" wrapText="1"/>
    </xf>
    <xf numFmtId="0" fontId="20" fillId="0" borderId="2" xfId="5" applyFont="1" applyBorder="1" applyAlignment="1">
      <alignment horizontal="center" vertical="center"/>
    </xf>
    <xf numFmtId="0" fontId="20" fillId="0" borderId="43" xfId="0" applyFont="1" applyBorder="1" applyAlignment="1">
      <alignment horizontal="center" vertical="center"/>
    </xf>
    <xf numFmtId="0" fontId="20" fillId="0" borderId="1" xfId="5" applyFont="1" applyBorder="1" applyAlignment="1">
      <alignment horizontal="left" vertical="center" wrapText="1"/>
    </xf>
    <xf numFmtId="0" fontId="1" fillId="0" borderId="41" xfId="5" applyFont="1" applyBorder="1" applyAlignment="1">
      <alignment horizontal="right" vertical="center" wrapText="1"/>
    </xf>
    <xf numFmtId="0" fontId="20" fillId="5" borderId="1" xfId="5" applyFont="1" applyFill="1" applyBorder="1" applyAlignment="1">
      <alignment horizontal="left" vertical="center"/>
    </xf>
    <xf numFmtId="0" fontId="20" fillId="5" borderId="2" xfId="5" applyFont="1" applyFill="1" applyBorder="1" applyAlignment="1">
      <alignment horizontal="left" vertical="center"/>
    </xf>
    <xf numFmtId="49" fontId="31" fillId="5" borderId="44" xfId="0" applyNumberFormat="1" applyFont="1" applyFill="1" applyBorder="1" applyAlignment="1">
      <alignment horizontal="left" vertical="center" wrapText="1" indent="1"/>
    </xf>
    <xf numFmtId="49" fontId="31" fillId="0" borderId="44" xfId="0" applyNumberFormat="1" applyFont="1" applyBorder="1" applyAlignment="1">
      <alignment horizontal="left" vertical="center" wrapText="1" indent="1"/>
    </xf>
    <xf numFmtId="0" fontId="31" fillId="5" borderId="44" xfId="0" applyFont="1" applyFill="1" applyBorder="1" applyAlignment="1">
      <alignment horizontal="left" vertical="center" wrapText="1" indent="1"/>
    </xf>
    <xf numFmtId="0" fontId="31" fillId="0" borderId="44" xfId="0" applyFont="1" applyBorder="1" applyAlignment="1">
      <alignment horizontal="left" vertical="center" wrapText="1" indent="1"/>
    </xf>
    <xf numFmtId="0" fontId="31" fillId="0" borderId="3" xfId="0" applyFont="1" applyBorder="1" applyAlignment="1">
      <alignment horizontal="left" vertical="center" wrapText="1" indent="1"/>
    </xf>
    <xf numFmtId="49" fontId="31" fillId="0" borderId="3" xfId="0" applyNumberFormat="1" applyFont="1" applyBorder="1" applyAlignment="1">
      <alignment horizontal="left" vertical="center" wrapText="1" indent="1"/>
    </xf>
    <xf numFmtId="0" fontId="27" fillId="4" borderId="16" xfId="0" applyFont="1" applyFill="1" applyBorder="1" applyAlignment="1">
      <alignment horizontal="center"/>
    </xf>
    <xf numFmtId="40" fontId="27" fillId="4" borderId="16" xfId="0" applyNumberFormat="1" applyFont="1" applyFill="1" applyBorder="1" applyAlignment="1">
      <alignment horizontal="center"/>
    </xf>
    <xf numFmtId="0" fontId="26" fillId="0" borderId="0" xfId="0" applyFont="1" applyAlignment="1">
      <alignment horizont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/>
    </xf>
    <xf numFmtId="0" fontId="59" fillId="0" borderId="60" xfId="0" applyFont="1" applyBorder="1" applyAlignment="1">
      <alignment readingOrder="1"/>
    </xf>
    <xf numFmtId="0" fontId="59" fillId="0" borderId="58" xfId="0" applyFont="1" applyBorder="1" applyAlignment="1">
      <alignment readingOrder="1"/>
    </xf>
    <xf numFmtId="0" fontId="59" fillId="0" borderId="59" xfId="0" applyFont="1" applyBorder="1" applyAlignment="1">
      <alignment readingOrder="1"/>
    </xf>
    <xf numFmtId="0" fontId="44" fillId="0" borderId="42" xfId="10" applyFont="1" applyBorder="1" applyAlignment="1"/>
    <xf numFmtId="0" fontId="51" fillId="5" borderId="41" xfId="0" applyFont="1" applyFill="1" applyBorder="1" applyAlignment="1">
      <alignment horizontal="center" vertical="center" wrapText="1"/>
    </xf>
    <xf numFmtId="0" fontId="46" fillId="5" borderId="43" xfId="0" applyFont="1" applyFill="1" applyBorder="1" applyAlignment="1">
      <alignment horizontal="center" vertical="center" wrapText="1"/>
    </xf>
    <xf numFmtId="0" fontId="46" fillId="5" borderId="1" xfId="0" applyFont="1" applyFill="1" applyBorder="1" applyAlignment="1">
      <alignment horizontal="center" vertical="center" wrapText="1"/>
    </xf>
    <xf numFmtId="0" fontId="46" fillId="5" borderId="2" xfId="0" applyFont="1" applyFill="1" applyBorder="1" applyAlignment="1">
      <alignment horizontal="center" vertical="center" wrapText="1"/>
    </xf>
    <xf numFmtId="0" fontId="4" fillId="5" borderId="43" xfId="0" applyFont="1" applyFill="1" applyBorder="1" applyAlignment="1">
      <alignment horizontal="left" vertical="center" wrapText="1"/>
    </xf>
    <xf numFmtId="0" fontId="46" fillId="5" borderId="1" xfId="0" applyFont="1" applyFill="1" applyBorder="1" applyAlignment="1">
      <alignment horizontal="left" vertical="center" wrapText="1"/>
    </xf>
    <xf numFmtId="0" fontId="46" fillId="5" borderId="2" xfId="0" applyFont="1" applyFill="1" applyBorder="1" applyAlignment="1">
      <alignment horizontal="left" vertical="center" wrapText="1"/>
    </xf>
    <xf numFmtId="0" fontId="51" fillId="5" borderId="44" xfId="0" applyFont="1" applyFill="1" applyBorder="1" applyAlignment="1">
      <alignment horizontal="center" vertical="center" wrapText="1"/>
    </xf>
    <xf numFmtId="0" fontId="46" fillId="5" borderId="43" xfId="0" applyFont="1" applyFill="1" applyBorder="1" applyAlignment="1">
      <alignment horizontal="left" vertical="center" wrapText="1"/>
    </xf>
    <xf numFmtId="0" fontId="46" fillId="5" borderId="41" xfId="0" applyFont="1" applyFill="1" applyBorder="1" applyAlignment="1">
      <alignment horizontal="left" vertical="center" wrapText="1"/>
    </xf>
    <xf numFmtId="0" fontId="44" fillId="0" borderId="34" xfId="0" applyFont="1" applyBorder="1" applyAlignment="1"/>
    <xf numFmtId="0" fontId="44" fillId="0" borderId="48" xfId="0" applyFont="1" applyBorder="1" applyAlignment="1"/>
    <xf numFmtId="0" fontId="44" fillId="0" borderId="49" xfId="0" applyFont="1" applyBorder="1" applyAlignment="1"/>
    <xf numFmtId="0" fontId="38" fillId="0" borderId="41" xfId="0" applyFont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5" borderId="43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0" fillId="0" borderId="39" xfId="0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40" xfId="0" applyBorder="1" applyAlignment="1">
      <alignment horizontal="center"/>
    </xf>
    <xf numFmtId="0" fontId="4" fillId="5" borderId="1" xfId="0" applyFont="1" applyFill="1" applyBorder="1" applyAlignment="1">
      <alignment horizontal="left" vertical="center" wrapText="1"/>
    </xf>
    <xf numFmtId="0" fontId="4" fillId="5" borderId="2" xfId="0" applyFont="1" applyFill="1" applyBorder="1" applyAlignment="1">
      <alignment horizontal="left" vertical="center" wrapText="1"/>
    </xf>
    <xf numFmtId="0" fontId="3" fillId="5" borderId="44" xfId="0" applyFont="1" applyFill="1" applyBorder="1" applyAlignment="1">
      <alignment horizontal="center" vertical="center" wrapText="1"/>
    </xf>
    <xf numFmtId="0" fontId="4" fillId="5" borderId="41" xfId="0" applyFont="1" applyFill="1" applyBorder="1" applyAlignment="1">
      <alignment horizontal="left" vertical="center" wrapText="1"/>
    </xf>
    <xf numFmtId="0" fontId="3" fillId="5" borderId="53" xfId="0" applyFont="1" applyFill="1" applyBorder="1" applyAlignment="1">
      <alignment horizontal="center" vertical="center" wrapText="1"/>
    </xf>
    <xf numFmtId="0" fontId="3" fillId="5" borderId="41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 wrapText="1"/>
    </xf>
    <xf numFmtId="0" fontId="4" fillId="0" borderId="41" xfId="0" applyFont="1" applyBorder="1" applyAlignment="1">
      <alignment horizontal="left" vertical="center" wrapText="1"/>
    </xf>
    <xf numFmtId="0" fontId="64" fillId="5" borderId="41" xfId="0" applyFont="1" applyFill="1" applyBorder="1" applyAlignment="1">
      <alignment horizontal="left" vertical="center" wrapText="1"/>
    </xf>
    <xf numFmtId="0" fontId="38" fillId="0" borderId="51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/>
    </xf>
    <xf numFmtId="0" fontId="2" fillId="0" borderId="41" xfId="0" applyFont="1" applyBorder="1" applyAlignment="1">
      <alignment horizontal="center" vertical="center" wrapText="1"/>
    </xf>
    <xf numFmtId="0" fontId="14" fillId="0" borderId="41" xfId="11" applyNumberFormat="1" applyFont="1" applyFill="1" applyBorder="1" applyAlignment="1" applyProtection="1">
      <alignment horizontal="center" wrapText="1"/>
    </xf>
    <xf numFmtId="0" fontId="14" fillId="0" borderId="41" xfId="11" applyFont="1" applyBorder="1" applyAlignment="1">
      <alignment horizontal="center" wrapText="1"/>
    </xf>
    <xf numFmtId="0" fontId="2" fillId="0" borderId="41" xfId="0" applyFont="1" applyBorder="1" applyAlignment="1">
      <alignment horizontal="center" wrapText="1"/>
    </xf>
    <xf numFmtId="0" fontId="0" fillId="0" borderId="41" xfId="0" applyBorder="1" applyAlignment="1">
      <alignment horizontal="center" vertical="center" wrapText="1"/>
    </xf>
    <xf numFmtId="0" fontId="54" fillId="0" borderId="41" xfId="0" applyFont="1" applyBorder="1" applyAlignment="1">
      <alignment horizontal="center" wrapText="1"/>
    </xf>
    <xf numFmtId="0" fontId="0" fillId="0" borderId="41" xfId="0" applyBorder="1" applyAlignment="1">
      <alignment horizontal="center" wrapText="1"/>
    </xf>
    <xf numFmtId="0" fontId="39" fillId="0" borderId="41" xfId="11" applyNumberFormat="1" applyFont="1" applyFill="1" applyBorder="1" applyAlignment="1" applyProtection="1">
      <alignment horizontal="center" wrapText="1"/>
    </xf>
    <xf numFmtId="0" fontId="2" fillId="0" borderId="2" xfId="0" applyFont="1" applyBorder="1" applyAlignment="1">
      <alignment horizontal="center"/>
    </xf>
    <xf numFmtId="0" fontId="39" fillId="0" borderId="41" xfId="11" applyFont="1" applyBorder="1" applyAlignment="1">
      <alignment horizontal="center" wrapText="1"/>
    </xf>
    <xf numFmtId="10" fontId="9" fillId="0" borderId="0" xfId="0" applyNumberFormat="1" applyFont="1" applyAlignment="1">
      <alignment vertical="center" wrapText="1"/>
    </xf>
    <xf numFmtId="165" fontId="4" fillId="22" borderId="51" xfId="0" applyNumberFormat="1" applyFont="1" applyFill="1" applyBorder="1" applyAlignment="1">
      <alignment horizontal="right" vertical="center" wrapText="1"/>
    </xf>
    <xf numFmtId="165" fontId="4" fillId="5" borderId="40" xfId="0" applyNumberFormat="1" applyFont="1" applyFill="1" applyBorder="1" applyAlignment="1">
      <alignment horizontal="right" vertical="center" wrapText="1"/>
    </xf>
    <xf numFmtId="165" fontId="4" fillId="0" borderId="0" xfId="0" applyNumberFormat="1" applyFont="1" applyBorder="1" applyAlignment="1">
      <alignment horizontal="right" vertical="center" wrapText="1"/>
    </xf>
    <xf numFmtId="165" fontId="4" fillId="10" borderId="3" xfId="0" applyNumberFormat="1" applyFont="1" applyFill="1" applyBorder="1" applyAlignment="1" applyProtection="1">
      <alignment horizontal="right" vertical="center" wrapText="1"/>
      <protection locked="0"/>
    </xf>
    <xf numFmtId="165" fontId="4" fillId="10" borderId="53" xfId="0" applyNumberFormat="1" applyFont="1" applyFill="1" applyBorder="1" applyAlignment="1" applyProtection="1">
      <alignment horizontal="right" vertical="center" wrapText="1"/>
      <protection locked="0"/>
    </xf>
    <xf numFmtId="165" fontId="4" fillId="10" borderId="41" xfId="0" applyNumberFormat="1" applyFont="1" applyFill="1" applyBorder="1" applyAlignment="1" applyProtection="1">
      <alignment horizontal="right" vertical="center" wrapText="1"/>
      <protection locked="0"/>
    </xf>
    <xf numFmtId="165" fontId="4" fillId="10" borderId="44" xfId="0" applyNumberFormat="1" applyFont="1" applyFill="1" applyBorder="1" applyAlignment="1" applyProtection="1">
      <alignment horizontal="right" vertical="center" wrapText="1"/>
      <protection locked="0"/>
    </xf>
    <xf numFmtId="165" fontId="4" fillId="10" borderId="41" xfId="0" applyNumberFormat="1" applyFont="1" applyFill="1" applyBorder="1" applyAlignment="1" applyProtection="1">
      <alignment horizontal="right" vertical="center"/>
      <protection locked="0"/>
    </xf>
    <xf numFmtId="165" fontId="4" fillId="10" borderId="44" xfId="0" applyNumberFormat="1" applyFont="1" applyFill="1" applyBorder="1" applyAlignment="1" applyProtection="1">
      <alignment horizontal="right" vertical="center"/>
      <protection locked="0"/>
    </xf>
    <xf numFmtId="165" fontId="4" fillId="10" borderId="33" xfId="0" applyNumberFormat="1" applyFont="1" applyFill="1" applyBorder="1" applyAlignment="1" applyProtection="1">
      <alignment horizontal="right" vertical="center"/>
      <protection locked="0"/>
    </xf>
    <xf numFmtId="165" fontId="4" fillId="10" borderId="37" xfId="0" applyNumberFormat="1" applyFont="1" applyFill="1" applyBorder="1" applyAlignment="1" applyProtection="1">
      <alignment horizontal="right" vertical="center"/>
      <protection locked="0"/>
    </xf>
    <xf numFmtId="165" fontId="4" fillId="10" borderId="41" xfId="3" applyNumberFormat="1" applyFont="1" applyFill="1" applyBorder="1" applyAlignment="1" applyProtection="1">
      <alignment horizontal="right" vertical="center" wrapText="1"/>
      <protection locked="0"/>
    </xf>
    <xf numFmtId="165" fontId="4" fillId="10" borderId="53" xfId="3" applyNumberFormat="1" applyFont="1" applyFill="1" applyBorder="1" applyAlignment="1" applyProtection="1">
      <alignment horizontal="right" vertical="center" wrapText="1"/>
      <protection locked="0"/>
    </xf>
    <xf numFmtId="10" fontId="6" fillId="10" borderId="0" xfId="0" applyNumberFormat="1" applyFont="1" applyFill="1" applyAlignment="1" applyProtection="1">
      <alignment vertical="center" wrapText="1"/>
      <protection locked="0"/>
    </xf>
    <xf numFmtId="168" fontId="3" fillId="23" borderId="1" xfId="0" applyNumberFormat="1" applyFont="1" applyFill="1" applyBorder="1" applyAlignment="1" applyProtection="1">
      <alignment horizontal="center" vertical="center" wrapText="1"/>
      <protection locked="0"/>
    </xf>
    <xf numFmtId="4" fontId="6" fillId="0" borderId="69" xfId="0" applyNumberFormat="1" applyFont="1" applyBorder="1" applyAlignment="1">
      <alignment horizontal="center" vertical="center"/>
    </xf>
    <xf numFmtId="4" fontId="6" fillId="0" borderId="70" xfId="0" applyNumberFormat="1" applyFont="1" applyBorder="1" applyAlignment="1">
      <alignment horizontal="center" vertical="center" wrapText="1"/>
    </xf>
    <xf numFmtId="4" fontId="6" fillId="0" borderId="71" xfId="0" applyNumberFormat="1" applyFont="1" applyBorder="1" applyAlignment="1">
      <alignment horizontal="center" vertical="center" wrapText="1"/>
    </xf>
    <xf numFmtId="0" fontId="3" fillId="3" borderId="30" xfId="0" applyFont="1" applyFill="1" applyBorder="1" applyAlignment="1" applyProtection="1">
      <alignment horizontal="center" vertical="center" wrapText="1"/>
    </xf>
    <xf numFmtId="165" fontId="13" fillId="3" borderId="30" xfId="0" applyNumberFormat="1" applyFont="1" applyFill="1" applyBorder="1" applyAlignment="1" applyProtection="1">
      <alignment horizontal="center" vertical="center" wrapText="1"/>
    </xf>
    <xf numFmtId="2" fontId="3" fillId="3" borderId="30" xfId="0" applyNumberFormat="1" applyFont="1" applyFill="1" applyBorder="1" applyAlignment="1" applyProtection="1">
      <alignment horizontal="center" vertical="center" wrapText="1"/>
    </xf>
    <xf numFmtId="4" fontId="3" fillId="3" borderId="30" xfId="0" applyNumberFormat="1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vertical="center"/>
    </xf>
    <xf numFmtId="0" fontId="4" fillId="14" borderId="30" xfId="0" applyFont="1" applyFill="1" applyBorder="1" applyAlignment="1" applyProtection="1">
      <alignment horizontal="center" vertical="center" wrapText="1"/>
    </xf>
    <xf numFmtId="0" fontId="4" fillId="15" borderId="30" xfId="0" applyFont="1" applyFill="1" applyBorder="1" applyAlignment="1" applyProtection="1">
      <alignment horizontal="center" vertical="center" wrapText="1"/>
    </xf>
    <xf numFmtId="0" fontId="4" fillId="14" borderId="30" xfId="0" applyFont="1" applyFill="1" applyBorder="1" applyAlignment="1" applyProtection="1">
      <alignment horizontal="left" vertical="center" wrapText="1"/>
    </xf>
    <xf numFmtId="165" fontId="5" fillId="14" borderId="30" xfId="0" applyNumberFormat="1" applyFont="1" applyFill="1" applyBorder="1" applyAlignment="1" applyProtection="1">
      <alignment horizontal="center" vertical="center" wrapText="1"/>
    </xf>
    <xf numFmtId="165" fontId="4" fillId="14" borderId="30" xfId="0" applyNumberFormat="1" applyFont="1" applyFill="1" applyBorder="1" applyAlignment="1" applyProtection="1">
      <alignment horizontal="right" vertical="center" wrapText="1"/>
    </xf>
    <xf numFmtId="165" fontId="4" fillId="15" borderId="30" xfId="0" applyNumberFormat="1" applyFont="1" applyFill="1" applyBorder="1" applyAlignment="1" applyProtection="1">
      <alignment horizontal="right" vertical="center" wrapText="1"/>
    </xf>
    <xf numFmtId="10" fontId="4" fillId="15" borderId="30" xfId="12" applyNumberFormat="1" applyFont="1" applyFill="1" applyBorder="1" applyAlignment="1" applyProtection="1">
      <alignment horizontal="right" vertical="center" wrapText="1"/>
    </xf>
    <xf numFmtId="10" fontId="4" fillId="14" borderId="30" xfId="0" applyNumberFormat="1" applyFont="1" applyFill="1" applyBorder="1" applyAlignment="1" applyProtection="1">
      <alignment horizontal="center" vertical="center"/>
    </xf>
    <xf numFmtId="165" fontId="4" fillId="14" borderId="30" xfId="0" applyNumberFormat="1" applyFont="1" applyFill="1" applyBorder="1" applyAlignment="1" applyProtection="1">
      <alignment horizontal="center" vertical="center" wrapText="1"/>
    </xf>
    <xf numFmtId="0" fontId="5" fillId="15" borderId="30" xfId="0" applyFont="1" applyFill="1" applyBorder="1" applyAlignment="1" applyProtection="1">
      <alignment horizontal="center" vertical="center" wrapText="1"/>
    </xf>
    <xf numFmtId="0" fontId="46" fillId="14" borderId="30" xfId="0" applyFont="1" applyFill="1" applyBorder="1" applyAlignment="1" applyProtection="1">
      <alignment horizontal="left" vertical="center" wrapText="1"/>
    </xf>
    <xf numFmtId="0" fontId="46" fillId="14" borderId="30" xfId="0" applyFont="1" applyFill="1" applyBorder="1" applyAlignment="1" applyProtection="1">
      <alignment horizontal="center" vertical="center" wrapText="1"/>
    </xf>
    <xf numFmtId="165" fontId="46" fillId="14" borderId="30" xfId="0" applyNumberFormat="1" applyFont="1" applyFill="1" applyBorder="1" applyAlignment="1" applyProtection="1">
      <alignment horizontal="center" vertical="center" wrapText="1"/>
    </xf>
    <xf numFmtId="165" fontId="5" fillId="15" borderId="30" xfId="0" applyNumberFormat="1" applyFont="1" applyFill="1" applyBorder="1" applyAlignment="1" applyProtection="1">
      <alignment horizontal="right" vertical="center" wrapText="1"/>
    </xf>
    <xf numFmtId="0" fontId="45" fillId="12" borderId="0" xfId="0" applyFont="1" applyFill="1" applyAlignment="1" applyProtection="1">
      <alignment wrapText="1"/>
    </xf>
    <xf numFmtId="165" fontId="4" fillId="14" borderId="30" xfId="3" applyNumberFormat="1" applyFont="1" applyFill="1" applyBorder="1" applyAlignment="1" applyProtection="1">
      <alignment horizontal="right" vertical="center" wrapText="1"/>
    </xf>
    <xf numFmtId="0" fontId="0" fillId="0" borderId="0" xfId="0" applyProtection="1"/>
    <xf numFmtId="0" fontId="2" fillId="0" borderId="0" xfId="0" applyFont="1" applyAlignment="1" applyProtection="1">
      <alignment vertical="center"/>
    </xf>
    <xf numFmtId="0" fontId="4" fillId="14" borderId="30" xfId="0" applyFont="1" applyFill="1" applyBorder="1" applyAlignment="1" applyProtection="1">
      <alignment vertical="center" wrapText="1"/>
    </xf>
    <xf numFmtId="0" fontId="5" fillId="14" borderId="30" xfId="0" applyFont="1" applyFill="1" applyBorder="1" applyAlignment="1" applyProtection="1">
      <alignment horizontal="center" vertical="center"/>
    </xf>
    <xf numFmtId="165" fontId="5" fillId="14" borderId="30" xfId="0" applyNumberFormat="1" applyFont="1" applyFill="1" applyBorder="1" applyAlignment="1" applyProtection="1">
      <alignment horizontal="center" vertical="center"/>
    </xf>
    <xf numFmtId="165" fontId="4" fillId="14" borderId="30" xfId="0" applyNumberFormat="1" applyFont="1" applyFill="1" applyBorder="1" applyAlignment="1" applyProtection="1">
      <alignment horizontal="right" vertical="center"/>
    </xf>
    <xf numFmtId="49" fontId="4" fillId="15" borderId="30" xfId="0" applyNumberFormat="1" applyFont="1" applyFill="1" applyBorder="1" applyAlignment="1" applyProtection="1">
      <alignment horizontal="center" vertical="center" wrapText="1"/>
    </xf>
    <xf numFmtId="0" fontId="45" fillId="0" borderId="0" xfId="0" applyFont="1" applyProtection="1"/>
    <xf numFmtId="165" fontId="46" fillId="14" borderId="30" xfId="3" applyNumberFormat="1" applyFont="1" applyFill="1" applyBorder="1" applyAlignment="1" applyProtection="1">
      <alignment horizontal="right" vertical="center" wrapText="1"/>
    </xf>
    <xf numFmtId="165" fontId="46" fillId="14" borderId="30" xfId="0" applyNumberFormat="1" applyFont="1" applyFill="1" applyBorder="1" applyAlignment="1" applyProtection="1">
      <alignment horizontal="right" vertical="center" wrapText="1"/>
    </xf>
    <xf numFmtId="0" fontId="4" fillId="14" borderId="30" xfId="0" applyFont="1" applyFill="1" applyBorder="1" applyAlignment="1" applyProtection="1">
      <alignment horizontal="center" vertical="center"/>
    </xf>
    <xf numFmtId="0" fontId="4" fillId="15" borderId="30" xfId="0" applyFont="1" applyFill="1" applyBorder="1" applyAlignment="1" applyProtection="1">
      <alignment horizontal="center" vertical="center"/>
    </xf>
    <xf numFmtId="165" fontId="4" fillId="14" borderId="30" xfId="4" applyNumberFormat="1" applyFont="1" applyFill="1" applyBorder="1" applyAlignment="1" applyProtection="1">
      <alignment horizontal="right" vertical="center" wrapText="1"/>
    </xf>
    <xf numFmtId="165" fontId="5" fillId="14" borderId="30" xfId="0" applyNumberFormat="1" applyFont="1" applyFill="1" applyBorder="1" applyAlignment="1" applyProtection="1">
      <alignment horizontal="right" vertical="center" wrapText="1"/>
    </xf>
    <xf numFmtId="3" fontId="4" fillId="15" borderId="30" xfId="0" applyNumberFormat="1" applyFont="1" applyFill="1" applyBorder="1" applyAlignment="1" applyProtection="1">
      <alignment horizontal="center" vertical="center" wrapText="1"/>
    </xf>
    <xf numFmtId="165" fontId="46" fillId="15" borderId="30" xfId="0" applyNumberFormat="1" applyFont="1" applyFill="1" applyBorder="1" applyAlignment="1" applyProtection="1">
      <alignment horizontal="right" vertical="center" wrapText="1"/>
    </xf>
    <xf numFmtId="0" fontId="46" fillId="15" borderId="30" xfId="0" applyFont="1" applyFill="1" applyBorder="1" applyAlignment="1" applyProtection="1">
      <alignment horizontal="center" vertical="center" wrapText="1"/>
    </xf>
    <xf numFmtId="49" fontId="4" fillId="14" borderId="30" xfId="0" applyNumberFormat="1" applyFont="1" applyFill="1" applyBorder="1" applyAlignment="1" applyProtection="1">
      <alignment horizontal="center" vertical="center" wrapText="1"/>
    </xf>
    <xf numFmtId="0" fontId="46" fillId="14" borderId="30" xfId="0" applyFont="1" applyFill="1" applyBorder="1" applyAlignment="1" applyProtection="1">
      <alignment vertical="center" wrapText="1"/>
    </xf>
    <xf numFmtId="165" fontId="57" fillId="14" borderId="30" xfId="0" applyNumberFormat="1" applyFont="1" applyFill="1" applyBorder="1" applyAlignment="1" applyProtection="1">
      <alignment horizontal="center" vertical="center" wrapText="1"/>
    </xf>
    <xf numFmtId="0" fontId="4" fillId="16" borderId="30" xfId="0" applyFont="1" applyFill="1" applyBorder="1" applyAlignment="1" applyProtection="1">
      <alignment horizontal="center" vertical="center" wrapText="1"/>
    </xf>
    <xf numFmtId="0" fontId="4" fillId="17" borderId="30" xfId="0" applyFont="1" applyFill="1" applyBorder="1" applyAlignment="1" applyProtection="1">
      <alignment horizontal="center" vertical="center" wrapText="1"/>
    </xf>
    <xf numFmtId="0" fontId="4" fillId="16" borderId="30" xfId="0" applyFont="1" applyFill="1" applyBorder="1" applyAlignment="1" applyProtection="1">
      <alignment horizontal="left" vertical="center" wrapText="1"/>
    </xf>
    <xf numFmtId="165" fontId="4" fillId="16" borderId="30" xfId="0" applyNumberFormat="1" applyFont="1" applyFill="1" applyBorder="1" applyAlignment="1" applyProtection="1">
      <alignment horizontal="center" vertical="center" wrapText="1"/>
    </xf>
    <xf numFmtId="165" fontId="4" fillId="16" borderId="30" xfId="0" applyNumberFormat="1" applyFont="1" applyFill="1" applyBorder="1" applyAlignment="1" applyProtection="1">
      <alignment horizontal="right" vertical="center" wrapText="1"/>
    </xf>
    <xf numFmtId="165" fontId="4" fillId="17" borderId="30" xfId="0" applyNumberFormat="1" applyFont="1" applyFill="1" applyBorder="1" applyAlignment="1" applyProtection="1">
      <alignment horizontal="right" vertical="center" wrapText="1"/>
    </xf>
    <xf numFmtId="10" fontId="4" fillId="17" borderId="30" xfId="12" applyNumberFormat="1" applyFont="1" applyFill="1" applyBorder="1" applyAlignment="1" applyProtection="1">
      <alignment horizontal="right" vertical="center" wrapText="1"/>
    </xf>
    <xf numFmtId="10" fontId="4" fillId="16" borderId="30" xfId="0" applyNumberFormat="1" applyFont="1" applyFill="1" applyBorder="1" applyAlignment="1" applyProtection="1">
      <alignment horizontal="center" vertical="center"/>
    </xf>
    <xf numFmtId="0" fontId="58" fillId="16" borderId="30" xfId="0" applyFont="1" applyFill="1" applyBorder="1" applyAlignment="1" applyProtection="1">
      <alignment horizontal="left" vertical="center" wrapText="1"/>
    </xf>
    <xf numFmtId="3" fontId="4" fillId="17" borderId="30" xfId="0" applyNumberFormat="1" applyFont="1" applyFill="1" applyBorder="1" applyAlignment="1" applyProtection="1">
      <alignment horizontal="center" vertical="center" wrapText="1"/>
    </xf>
    <xf numFmtId="0" fontId="46" fillId="16" borderId="30" xfId="0" applyFont="1" applyFill="1" applyBorder="1" applyAlignment="1" applyProtection="1">
      <alignment horizontal="left" vertical="center" wrapText="1"/>
    </xf>
    <xf numFmtId="0" fontId="46" fillId="16" borderId="30" xfId="0" applyFont="1" applyFill="1" applyBorder="1" applyAlignment="1" applyProtection="1">
      <alignment horizontal="center" vertical="center" wrapText="1"/>
    </xf>
    <xf numFmtId="165" fontId="46" fillId="16" borderId="30" xfId="0" applyNumberFormat="1" applyFont="1" applyFill="1" applyBorder="1" applyAlignment="1" applyProtection="1">
      <alignment horizontal="center" vertical="center" wrapText="1"/>
    </xf>
    <xf numFmtId="0" fontId="4" fillId="16" borderId="30" xfId="0" applyFont="1" applyFill="1" applyBorder="1" applyAlignment="1" applyProtection="1">
      <alignment horizontal="center" vertical="center"/>
    </xf>
    <xf numFmtId="0" fontId="4" fillId="17" borderId="30" xfId="0" applyFont="1" applyFill="1" applyBorder="1" applyAlignment="1" applyProtection="1">
      <alignment horizontal="center" vertical="center"/>
    </xf>
    <xf numFmtId="0" fontId="4" fillId="16" borderId="30" xfId="0" applyFont="1" applyFill="1" applyBorder="1" applyAlignment="1" applyProtection="1">
      <alignment vertical="center" wrapText="1"/>
    </xf>
    <xf numFmtId="165" fontId="5" fillId="16" borderId="30" xfId="0" applyNumberFormat="1" applyFont="1" applyFill="1" applyBorder="1" applyAlignment="1" applyProtection="1">
      <alignment horizontal="center" vertical="center" wrapText="1"/>
    </xf>
    <xf numFmtId="0" fontId="46" fillId="17" borderId="30" xfId="0" applyFont="1" applyFill="1" applyBorder="1" applyAlignment="1" applyProtection="1">
      <alignment horizontal="center" vertical="center" wrapText="1"/>
    </xf>
    <xf numFmtId="165" fontId="46" fillId="16" borderId="30" xfId="0" applyNumberFormat="1" applyFont="1" applyFill="1" applyBorder="1" applyAlignment="1" applyProtection="1">
      <alignment horizontal="right" vertical="center" wrapText="1"/>
    </xf>
    <xf numFmtId="165" fontId="46" fillId="17" borderId="30" xfId="0" applyNumberFormat="1" applyFont="1" applyFill="1" applyBorder="1" applyAlignment="1" applyProtection="1">
      <alignment horizontal="right" vertical="center" wrapText="1"/>
    </xf>
    <xf numFmtId="0" fontId="5" fillId="16" borderId="30" xfId="0" applyFont="1" applyFill="1" applyBorder="1" applyAlignment="1" applyProtection="1">
      <alignment horizontal="center" vertical="center"/>
    </xf>
    <xf numFmtId="165" fontId="4" fillId="16" borderId="30" xfId="3" applyNumberFormat="1" applyFont="1" applyFill="1" applyBorder="1" applyAlignment="1" applyProtection="1">
      <alignment horizontal="right" vertical="center" wrapText="1"/>
    </xf>
    <xf numFmtId="0" fontId="45" fillId="0" borderId="0" xfId="0" applyFont="1" applyAlignment="1" applyProtection="1">
      <alignment wrapText="1"/>
    </xf>
    <xf numFmtId="165" fontId="5" fillId="16" borderId="30" xfId="0" applyNumberFormat="1" applyFont="1" applyFill="1" applyBorder="1" applyAlignment="1" applyProtection="1">
      <alignment horizontal="center" vertical="center"/>
    </xf>
    <xf numFmtId="165" fontId="4" fillId="16" borderId="30" xfId="0" applyNumberFormat="1" applyFont="1" applyFill="1" applyBorder="1" applyAlignment="1" applyProtection="1">
      <alignment horizontal="right" vertical="center"/>
    </xf>
    <xf numFmtId="165" fontId="4" fillId="17" borderId="30" xfId="0" applyNumberFormat="1" applyFont="1" applyFill="1" applyBorder="1" applyAlignment="1" applyProtection="1">
      <alignment horizontal="center" vertical="center" wrapText="1"/>
    </xf>
    <xf numFmtId="49" fontId="4" fillId="16" borderId="30" xfId="0" applyNumberFormat="1" applyFont="1" applyFill="1" applyBorder="1" applyAlignment="1" applyProtection="1">
      <alignment horizontal="center" vertical="center" wrapText="1"/>
    </xf>
    <xf numFmtId="49" fontId="4" fillId="17" borderId="30" xfId="0" applyNumberFormat="1" applyFont="1" applyFill="1" applyBorder="1" applyAlignment="1" applyProtection="1">
      <alignment horizontal="center" vertical="center" wrapText="1"/>
    </xf>
    <xf numFmtId="0" fontId="5" fillId="17" borderId="30" xfId="0" applyFont="1" applyFill="1" applyBorder="1" applyAlignment="1" applyProtection="1">
      <alignment horizontal="center" vertical="center" wrapText="1"/>
    </xf>
    <xf numFmtId="0" fontId="68" fillId="0" borderId="0" xfId="0" applyFont="1" applyProtection="1"/>
    <xf numFmtId="165" fontId="46" fillId="16" borderId="30" xfId="3" applyNumberFormat="1" applyFont="1" applyFill="1" applyBorder="1" applyAlignment="1" applyProtection="1">
      <alignment horizontal="right" vertical="center" wrapText="1"/>
    </xf>
    <xf numFmtId="0" fontId="52" fillId="16" borderId="30" xfId="0" applyFont="1" applyFill="1" applyBorder="1" applyAlignment="1" applyProtection="1">
      <alignment horizontal="left" vertical="center" wrapText="1"/>
    </xf>
    <xf numFmtId="0" fontId="57" fillId="16" borderId="30" xfId="0" applyFont="1" applyFill="1" applyBorder="1" applyAlignment="1" applyProtection="1">
      <alignment horizontal="center" vertical="center" wrapText="1"/>
    </xf>
    <xf numFmtId="0" fontId="57" fillId="17" borderId="30" xfId="0" applyFont="1" applyFill="1" applyBorder="1" applyAlignment="1" applyProtection="1">
      <alignment horizontal="center" vertical="center" wrapText="1"/>
    </xf>
    <xf numFmtId="165" fontId="57" fillId="16" borderId="30" xfId="0" applyNumberFormat="1" applyFont="1" applyFill="1" applyBorder="1" applyAlignment="1" applyProtection="1">
      <alignment horizontal="right" vertical="center" wrapText="1"/>
    </xf>
    <xf numFmtId="165" fontId="5" fillId="17" borderId="30" xfId="0" applyNumberFormat="1" applyFont="1" applyFill="1" applyBorder="1" applyAlignment="1" applyProtection="1">
      <alignment horizontal="right" vertical="center" wrapText="1"/>
    </xf>
    <xf numFmtId="165" fontId="4" fillId="17" borderId="30" xfId="3" applyNumberFormat="1" applyFont="1" applyFill="1" applyBorder="1" applyAlignment="1" applyProtection="1">
      <alignment horizontal="right" vertical="center" wrapText="1"/>
    </xf>
    <xf numFmtId="165" fontId="4" fillId="16" borderId="30" xfId="3" applyNumberFormat="1" applyFont="1" applyFill="1" applyBorder="1" applyAlignment="1" applyProtection="1">
      <alignment horizontal="center" vertical="center" wrapText="1"/>
    </xf>
    <xf numFmtId="165" fontId="57" fillId="17" borderId="30" xfId="0" applyNumberFormat="1" applyFont="1" applyFill="1" applyBorder="1" applyAlignment="1" applyProtection="1">
      <alignment horizontal="right" vertical="center" wrapText="1"/>
    </xf>
    <xf numFmtId="0" fontId="4" fillId="16" borderId="30" xfId="0" applyFont="1" applyFill="1" applyBorder="1" applyAlignment="1" applyProtection="1">
      <alignment vertical="center"/>
    </xf>
    <xf numFmtId="0" fontId="46" fillId="16" borderId="30" xfId="0" applyFont="1" applyFill="1" applyBorder="1" applyAlignment="1" applyProtection="1">
      <alignment vertical="center" wrapText="1"/>
    </xf>
    <xf numFmtId="165" fontId="57" fillId="16" borderId="30" xfId="0" applyNumberFormat="1" applyFont="1" applyFill="1" applyBorder="1" applyAlignment="1" applyProtection="1">
      <alignment horizontal="center" vertical="center" wrapText="1"/>
    </xf>
    <xf numFmtId="0" fontId="5" fillId="16" borderId="30" xfId="0" applyFont="1" applyFill="1" applyBorder="1" applyAlignment="1" applyProtection="1">
      <alignment horizontal="center" vertical="center" wrapText="1"/>
    </xf>
    <xf numFmtId="165" fontId="5" fillId="16" borderId="30" xfId="0" applyNumberFormat="1" applyFont="1" applyFill="1" applyBorder="1" applyAlignment="1" applyProtection="1">
      <alignment horizontal="right" vertical="center" wrapText="1"/>
    </xf>
    <xf numFmtId="165" fontId="5" fillId="17" borderId="30" xfId="3" applyNumberFormat="1" applyFont="1" applyFill="1" applyBorder="1" applyAlignment="1" applyProtection="1">
      <alignment horizontal="right" vertical="center" wrapText="1"/>
    </xf>
    <xf numFmtId="0" fontId="4" fillId="18" borderId="30" xfId="0" applyFont="1" applyFill="1" applyBorder="1" applyAlignment="1" applyProtection="1">
      <alignment horizontal="center" vertical="center" wrapText="1"/>
    </xf>
    <xf numFmtId="0" fontId="4" fillId="19" borderId="30" xfId="0" applyFont="1" applyFill="1" applyBorder="1" applyAlignment="1" applyProtection="1">
      <alignment horizontal="center" vertical="center" wrapText="1"/>
    </xf>
    <xf numFmtId="171" fontId="4" fillId="19" borderId="30" xfId="0" applyNumberFormat="1" applyFont="1" applyFill="1" applyBorder="1" applyAlignment="1" applyProtection="1">
      <alignment horizontal="center" vertical="center" wrapText="1"/>
    </xf>
    <xf numFmtId="0" fontId="4" fillId="18" borderId="30" xfId="0" applyFont="1" applyFill="1" applyBorder="1" applyAlignment="1" applyProtection="1">
      <alignment horizontal="left" vertical="center" wrapText="1"/>
    </xf>
    <xf numFmtId="165" fontId="5" fillId="18" borderId="30" xfId="0" applyNumberFormat="1" applyFont="1" applyFill="1" applyBorder="1" applyAlignment="1" applyProtection="1">
      <alignment horizontal="center" vertical="center" wrapText="1"/>
    </xf>
    <xf numFmtId="165" fontId="4" fillId="18" borderId="30" xfId="3" applyNumberFormat="1" applyFont="1" applyFill="1" applyBorder="1" applyAlignment="1" applyProtection="1">
      <alignment horizontal="right" vertical="center" wrapText="1"/>
    </xf>
    <xf numFmtId="165" fontId="4" fillId="19" borderId="30" xfId="0" applyNumberFormat="1" applyFont="1" applyFill="1" applyBorder="1" applyAlignment="1" applyProtection="1">
      <alignment horizontal="right" vertical="center" wrapText="1"/>
    </xf>
    <xf numFmtId="10" fontId="4" fillId="19" borderId="30" xfId="12" applyNumberFormat="1" applyFont="1" applyFill="1" applyBorder="1" applyAlignment="1" applyProtection="1">
      <alignment horizontal="right" vertical="center" wrapText="1"/>
    </xf>
    <xf numFmtId="10" fontId="4" fillId="18" borderId="30" xfId="0" applyNumberFormat="1" applyFont="1" applyFill="1" applyBorder="1" applyAlignment="1" applyProtection="1">
      <alignment horizontal="center" vertical="center"/>
    </xf>
    <xf numFmtId="0" fontId="46" fillId="18" borderId="30" xfId="0" applyFont="1" applyFill="1" applyBorder="1" applyAlignment="1" applyProtection="1">
      <alignment horizontal="left" vertical="center" wrapText="1"/>
    </xf>
    <xf numFmtId="0" fontId="46" fillId="18" borderId="30" xfId="0" applyFont="1" applyFill="1" applyBorder="1" applyAlignment="1" applyProtection="1">
      <alignment horizontal="center" vertical="center" wrapText="1"/>
    </xf>
    <xf numFmtId="165" fontId="46" fillId="18" borderId="30" xfId="0" applyNumberFormat="1" applyFont="1" applyFill="1" applyBorder="1" applyAlignment="1" applyProtection="1">
      <alignment horizontal="center" vertical="center" wrapText="1"/>
    </xf>
    <xf numFmtId="165" fontId="4" fillId="18" borderId="30" xfId="0" applyNumberFormat="1" applyFont="1" applyFill="1" applyBorder="1" applyAlignment="1" applyProtection="1">
      <alignment horizontal="right" vertical="center" wrapText="1"/>
    </xf>
    <xf numFmtId="165" fontId="5" fillId="19" borderId="30" xfId="0" applyNumberFormat="1" applyFont="1" applyFill="1" applyBorder="1" applyAlignment="1" applyProtection="1">
      <alignment horizontal="right" vertical="center" wrapText="1"/>
    </xf>
    <xf numFmtId="0" fontId="4" fillId="18" borderId="30" xfId="0" applyFont="1" applyFill="1" applyBorder="1" applyAlignment="1" applyProtection="1">
      <alignment horizontal="center" vertical="center"/>
    </xf>
    <xf numFmtId="0" fontId="4" fillId="19" borderId="30" xfId="0" applyFont="1" applyFill="1" applyBorder="1" applyAlignment="1" applyProtection="1">
      <alignment horizontal="center" vertical="center"/>
    </xf>
    <xf numFmtId="0" fontId="46" fillId="18" borderId="30" xfId="0" applyFont="1" applyFill="1" applyBorder="1" applyAlignment="1" applyProtection="1">
      <alignment vertical="center" wrapText="1"/>
    </xf>
    <xf numFmtId="165" fontId="57" fillId="18" borderId="30" xfId="0" applyNumberFormat="1" applyFont="1" applyFill="1" applyBorder="1" applyAlignment="1" applyProtection="1">
      <alignment horizontal="center" vertical="center" wrapText="1"/>
    </xf>
    <xf numFmtId="165" fontId="46" fillId="18" borderId="30" xfId="0" applyNumberFormat="1" applyFont="1" applyFill="1" applyBorder="1" applyAlignment="1" applyProtection="1">
      <alignment horizontal="right" vertical="center" wrapText="1"/>
    </xf>
    <xf numFmtId="165" fontId="46" fillId="19" borderId="30" xfId="0" applyNumberFormat="1" applyFont="1" applyFill="1" applyBorder="1" applyAlignment="1" applyProtection="1">
      <alignment horizontal="right" vertical="center" wrapText="1"/>
    </xf>
    <xf numFmtId="165" fontId="5" fillId="18" borderId="30" xfId="0" applyNumberFormat="1" applyFont="1" applyFill="1" applyBorder="1" applyAlignment="1" applyProtection="1">
      <alignment horizontal="center" vertical="center"/>
    </xf>
    <xf numFmtId="165" fontId="4" fillId="18" borderId="30" xfId="0" applyNumberFormat="1" applyFont="1" applyFill="1" applyBorder="1" applyAlignment="1" applyProtection="1">
      <alignment horizontal="right" vertical="center"/>
    </xf>
    <xf numFmtId="165" fontId="4" fillId="18" borderId="30" xfId="0" applyNumberFormat="1" applyFont="1" applyFill="1" applyBorder="1" applyAlignment="1" applyProtection="1">
      <alignment horizontal="center" vertical="center" wrapText="1"/>
    </xf>
    <xf numFmtId="0" fontId="4" fillId="18" borderId="30" xfId="0" applyFont="1" applyFill="1" applyBorder="1" applyAlignment="1" applyProtection="1">
      <alignment vertical="center" wrapText="1"/>
    </xf>
    <xf numFmtId="0" fontId="5" fillId="18" borderId="30" xfId="0" applyFont="1" applyFill="1" applyBorder="1" applyAlignment="1" applyProtection="1">
      <alignment horizontal="center" vertical="center" wrapText="1"/>
    </xf>
    <xf numFmtId="0" fontId="5" fillId="18" borderId="30" xfId="0" applyFont="1" applyFill="1" applyBorder="1" applyAlignment="1" applyProtection="1">
      <alignment horizontal="center" vertical="center"/>
    </xf>
    <xf numFmtId="0" fontId="46" fillId="18" borderId="30" xfId="0" applyFont="1" applyFill="1" applyBorder="1" applyAlignment="1" applyProtection="1">
      <alignment horizontal="center" vertical="center"/>
    </xf>
    <xf numFmtId="0" fontId="46" fillId="19" borderId="30" xfId="0" applyFont="1" applyFill="1" applyBorder="1" applyAlignment="1" applyProtection="1">
      <alignment horizontal="center" vertical="center"/>
    </xf>
    <xf numFmtId="0" fontId="46" fillId="19" borderId="30" xfId="0" applyFont="1" applyFill="1" applyBorder="1" applyAlignment="1" applyProtection="1">
      <alignment horizontal="center" vertical="center" wrapText="1"/>
    </xf>
    <xf numFmtId="165" fontId="4" fillId="19" borderId="30" xfId="3" applyNumberFormat="1" applyFont="1" applyFill="1" applyBorder="1" applyAlignment="1" applyProtection="1">
      <alignment horizontal="right" vertical="center" wrapText="1"/>
    </xf>
    <xf numFmtId="0" fontId="52" fillId="18" borderId="30" xfId="0" applyFont="1" applyFill="1" applyBorder="1" applyAlignment="1" applyProtection="1">
      <alignment horizontal="left" vertical="center" wrapText="1"/>
    </xf>
    <xf numFmtId="3" fontId="4" fillId="19" borderId="30" xfId="0" applyNumberFormat="1" applyFont="1" applyFill="1" applyBorder="1" applyAlignment="1" applyProtection="1">
      <alignment horizontal="center" vertical="center" wrapText="1"/>
    </xf>
    <xf numFmtId="165" fontId="5" fillId="18" borderId="30" xfId="0" applyNumberFormat="1" applyFont="1" applyFill="1" applyBorder="1" applyAlignment="1" applyProtection="1">
      <alignment horizontal="right" vertical="center" wrapText="1"/>
    </xf>
    <xf numFmtId="165" fontId="4" fillId="19" borderId="30" xfId="0" applyNumberFormat="1" applyFont="1" applyFill="1" applyBorder="1" applyAlignment="1" applyProtection="1">
      <alignment horizontal="center" vertical="center" wrapText="1"/>
    </xf>
    <xf numFmtId="165" fontId="57" fillId="19" borderId="30" xfId="0" applyNumberFormat="1" applyFont="1" applyFill="1" applyBorder="1" applyAlignment="1" applyProtection="1">
      <alignment horizontal="right" vertical="center" wrapText="1"/>
    </xf>
    <xf numFmtId="165" fontId="46" fillId="18" borderId="30" xfId="3" applyNumberFormat="1" applyFont="1" applyFill="1" applyBorder="1" applyAlignment="1" applyProtection="1">
      <alignment horizontal="right" vertical="center" wrapText="1"/>
    </xf>
    <xf numFmtId="0" fontId="5" fillId="19" borderId="30" xfId="0" applyFont="1" applyFill="1" applyBorder="1" applyAlignment="1" applyProtection="1">
      <alignment horizontal="center" vertical="center" wrapText="1"/>
    </xf>
    <xf numFmtId="0" fontId="5" fillId="18" borderId="30" xfId="0" applyFont="1" applyFill="1" applyBorder="1" applyAlignment="1" applyProtection="1">
      <alignment horizontal="left" vertical="center" wrapText="1"/>
    </xf>
    <xf numFmtId="0" fontId="14" fillId="0" borderId="0" xfId="0" applyFont="1" applyAlignment="1" applyProtection="1">
      <alignment vertical="center"/>
    </xf>
    <xf numFmtId="171" fontId="4" fillId="18" borderId="30" xfId="0" applyNumberFormat="1" applyFont="1" applyFill="1" applyBorder="1" applyAlignment="1" applyProtection="1">
      <alignment horizontal="center" vertical="center" wrapText="1"/>
    </xf>
    <xf numFmtId="168" fontId="4" fillId="18" borderId="30" xfId="0" applyNumberFormat="1" applyFont="1" applyFill="1" applyBorder="1" applyAlignment="1" applyProtection="1">
      <alignment horizontal="right" vertical="center" wrapText="1"/>
    </xf>
    <xf numFmtId="0" fontId="5" fillId="19" borderId="30" xfId="0" applyFont="1" applyFill="1" applyBorder="1" applyAlignment="1" applyProtection="1">
      <alignment horizontal="center" vertical="center"/>
    </xf>
    <xf numFmtId="168" fontId="4" fillId="19" borderId="30" xfId="0" applyNumberFormat="1" applyFont="1" applyFill="1" applyBorder="1" applyAlignment="1" applyProtection="1">
      <alignment horizontal="right" vertical="center" wrapText="1"/>
    </xf>
    <xf numFmtId="0" fontId="4" fillId="18" borderId="30" xfId="0" applyFont="1" applyFill="1" applyBorder="1" applyAlignment="1" applyProtection="1">
      <alignment vertical="center"/>
    </xf>
    <xf numFmtId="0" fontId="52" fillId="13" borderId="33" xfId="0" applyFont="1" applyFill="1" applyBorder="1" applyAlignment="1" applyProtection="1">
      <alignment wrapText="1"/>
    </xf>
    <xf numFmtId="0" fontId="52" fillId="13" borderId="61" xfId="0" applyFont="1" applyFill="1" applyBorder="1" applyAlignment="1" applyProtection="1">
      <alignment wrapText="1"/>
    </xf>
    <xf numFmtId="0" fontId="52" fillId="0" borderId="61" xfId="0" applyFont="1" applyBorder="1" applyAlignment="1" applyProtection="1">
      <alignment wrapText="1"/>
    </xf>
    <xf numFmtId="49" fontId="4" fillId="18" borderId="30" xfId="0" applyNumberFormat="1" applyFont="1" applyFill="1" applyBorder="1" applyAlignment="1" applyProtection="1">
      <alignment horizontal="left" vertical="center" wrapText="1"/>
    </xf>
    <xf numFmtId="9" fontId="4" fillId="19" borderId="30" xfId="12" applyNumberFormat="1" applyFont="1" applyFill="1" applyBorder="1" applyAlignment="1" applyProtection="1">
      <alignment horizontal="right" vertical="center" wrapText="1"/>
    </xf>
    <xf numFmtId="0" fontId="3" fillId="0" borderId="0" xfId="0" applyFont="1" applyAlignment="1" applyProtection="1">
      <alignment vertical="center"/>
    </xf>
    <xf numFmtId="0" fontId="6" fillId="0" borderId="0" xfId="0" applyFont="1" applyAlignment="1" applyProtection="1">
      <alignment horizontal="center" vertical="center" wrapText="1"/>
    </xf>
    <xf numFmtId="0" fontId="7" fillId="0" borderId="0" xfId="0" applyFont="1" applyAlignment="1" applyProtection="1">
      <alignment horizontal="center" vertical="center" wrapText="1"/>
    </xf>
    <xf numFmtId="0" fontId="4" fillId="0" borderId="0" xfId="0" applyFont="1" applyAlignment="1" applyProtection="1">
      <alignment vertical="center"/>
    </xf>
    <xf numFmtId="165" fontId="4" fillId="0" borderId="0" xfId="0" applyNumberFormat="1" applyFont="1" applyAlignment="1" applyProtection="1">
      <alignment vertical="center"/>
    </xf>
    <xf numFmtId="4" fontId="4" fillId="0" borderId="0" xfId="0" applyNumberFormat="1" applyFont="1" applyAlignment="1" applyProtection="1">
      <alignment vertical="center"/>
    </xf>
    <xf numFmtId="165" fontId="0" fillId="0" borderId="0" xfId="0" applyNumberFormat="1" applyAlignment="1" applyProtection="1">
      <alignment vertical="center"/>
    </xf>
    <xf numFmtId="4" fontId="0" fillId="0" borderId="0" xfId="0" applyNumberFormat="1" applyAlignment="1" applyProtection="1">
      <alignment vertical="center"/>
    </xf>
  </cellXfs>
  <cellStyles count="13">
    <cellStyle name="Excel_BuiltIn_40% - Ênfase3 1" xfId="1"/>
    <cellStyle name="Excel_BuiltIn_40% - Ênfase3 2" xfId="2"/>
    <cellStyle name="Excel_BuiltIn_Currency 1" xfId="3"/>
    <cellStyle name="Excel_BuiltIn_Currency 2" xfId="4"/>
    <cellStyle name="Hyperlink" xfId="11" builtinId="8"/>
    <cellStyle name="Moeda 3 2 2 2 4 2 6 5" xfId="10"/>
    <cellStyle name="Normal" xfId="0" builtinId="0"/>
    <cellStyle name="Normal 2" xfId="5"/>
    <cellStyle name="Normal 3" xfId="6"/>
    <cellStyle name="Porcentagem" xfId="12" builtinId="5"/>
    <cellStyle name="Porcentagem 2" xfId="7"/>
    <cellStyle name="Separador de milhares" xfId="8" builtinId="3"/>
    <cellStyle name="Vírgula 2" xfId="9"/>
  </cellStyles>
  <dxfs count="46">
    <dxf>
      <font>
        <b val="0"/>
        <condense val="0"/>
        <extend val="0"/>
        <sz val="11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34"/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0</xdr:row>
      <xdr:rowOff>123825</xdr:rowOff>
    </xdr:from>
    <xdr:to>
      <xdr:col>1</xdr:col>
      <xdr:colOff>885825</xdr:colOff>
      <xdr:row>0</xdr:row>
      <xdr:rowOff>714375</xdr:rowOff>
    </xdr:to>
    <xdr:pic>
      <xdr:nvPicPr>
        <xdr:cNvPr id="5145" name="Imagem 1">
          <a:extLst>
            <a:ext uri="{FF2B5EF4-FFF2-40B4-BE49-F238E27FC236}">
              <a16:creationId xmlns="" xmlns:a16="http://schemas.microsoft.com/office/drawing/2014/main" id="{4BD7A981-2496-4DCB-4C5C-83A0FF020D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123825"/>
          <a:ext cx="1990725" cy="590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=""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180975</xdr:colOff>
      <xdr:row>0</xdr:row>
      <xdr:rowOff>123825</xdr:rowOff>
    </xdr:from>
    <xdr:to>
      <xdr:col>1</xdr:col>
      <xdr:colOff>885825</xdr:colOff>
      <xdr:row>0</xdr:row>
      <xdr:rowOff>714375</xdr:rowOff>
    </xdr:to>
    <xdr:pic>
      <xdr:nvPicPr>
        <xdr:cNvPr id="2" name="Imagem 1">
          <a:extLst>
            <a:ext uri="{FF2B5EF4-FFF2-40B4-BE49-F238E27FC236}">
              <a16:creationId xmlns="" xmlns:a16="http://schemas.microsoft.com/office/drawing/2014/main" id="{0F2B5AAB-8178-4430-8E7E-AE63E6B855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123825"/>
          <a:ext cx="2030730" cy="590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=""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0</xdr:row>
      <xdr:rowOff>38100</xdr:rowOff>
    </xdr:from>
    <xdr:to>
      <xdr:col>1</xdr:col>
      <xdr:colOff>866775</xdr:colOff>
      <xdr:row>0</xdr:row>
      <xdr:rowOff>657225</xdr:rowOff>
    </xdr:to>
    <xdr:pic>
      <xdr:nvPicPr>
        <xdr:cNvPr id="6169" name="Imagem 1">
          <a:extLst>
            <a:ext uri="{FF2B5EF4-FFF2-40B4-BE49-F238E27FC236}">
              <a16:creationId xmlns="" xmlns:a16="http://schemas.microsoft.com/office/drawing/2014/main" id="{56DA1E24-544B-F27E-F59B-5F58B58ADA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38100"/>
          <a:ext cx="2085975" cy="619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=""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://www.precesstec.com.br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N775"/>
  <sheetViews>
    <sheetView tabSelected="1" view="pageBreakPreview" zoomScale="70" zoomScaleNormal="70" zoomScaleSheetLayoutView="70" workbookViewId="0">
      <selection activeCell="H5" sqref="H5"/>
    </sheetView>
  </sheetViews>
  <sheetFormatPr defaultColWidth="9.140625" defaultRowHeight="15" outlineLevelRow="2"/>
  <cols>
    <col min="1" max="1" width="20.7109375" style="1" customWidth="1"/>
    <col min="2" max="2" width="15.140625" style="1" customWidth="1"/>
    <col min="3" max="3" width="12.7109375" style="2" customWidth="1"/>
    <col min="4" max="4" width="67.5703125" style="2" customWidth="1"/>
    <col min="5" max="5" width="8.5703125" style="2" customWidth="1"/>
    <col min="6" max="6" width="15.140625" style="3" customWidth="1"/>
    <col min="7" max="7" width="18.5703125" style="2" customWidth="1"/>
    <col min="8" max="8" width="17.28515625" style="2" customWidth="1"/>
    <col min="9" max="9" width="24.42578125" style="2" customWidth="1"/>
    <col min="10" max="10" width="22.140625" style="4" customWidth="1"/>
    <col min="11" max="11" width="12.7109375" style="5" customWidth="1"/>
    <col min="12" max="12" width="29.28515625" style="2" customWidth="1"/>
    <col min="13" max="16384" width="9.140625" style="2"/>
  </cols>
  <sheetData>
    <row r="1" spans="1:12" ht="15.75" thickBot="1">
      <c r="A1" s="6"/>
      <c r="B1" s="6"/>
      <c r="C1" s="7"/>
      <c r="D1" s="7"/>
      <c r="E1" s="7"/>
      <c r="F1" s="8"/>
      <c r="G1" s="7"/>
      <c r="H1" s="7"/>
      <c r="I1" s="7"/>
      <c r="J1" s="9"/>
    </row>
    <row r="2" spans="1:12" ht="18.75" customHeight="1" thickBot="1">
      <c r="A2" s="989" t="s">
        <v>0</v>
      </c>
      <c r="B2" s="989"/>
      <c r="C2" s="989"/>
      <c r="D2" s="989"/>
      <c r="E2" s="989"/>
      <c r="F2" s="989"/>
      <c r="G2" s="989"/>
      <c r="H2" s="989"/>
      <c r="I2" s="989"/>
      <c r="J2" s="989"/>
      <c r="K2" s="989"/>
    </row>
    <row r="3" spans="1:12" ht="15" customHeight="1">
      <c r="A3" s="990"/>
      <c r="B3" s="990"/>
      <c r="C3" s="990"/>
      <c r="D3" s="990"/>
      <c r="E3" s="990"/>
      <c r="F3" s="10"/>
      <c r="G3" s="991"/>
      <c r="H3" s="991"/>
      <c r="I3" s="991"/>
      <c r="J3" s="991"/>
    </row>
    <row r="4" spans="1:12" s="13" customFormat="1" ht="20.45" customHeight="1">
      <c r="A4" s="988" t="s">
        <v>1</v>
      </c>
      <c r="B4" s="988"/>
      <c r="C4" s="988"/>
      <c r="D4" s="988"/>
      <c r="E4" s="988"/>
      <c r="F4" s="11"/>
      <c r="G4" s="992" t="s">
        <v>2</v>
      </c>
      <c r="H4" s="992"/>
      <c r="I4" s="992"/>
      <c r="J4" s="992"/>
      <c r="K4" s="12"/>
    </row>
    <row r="5" spans="1:12" s="13" customFormat="1" ht="15.75">
      <c r="A5" s="988" t="s">
        <v>3</v>
      </c>
      <c r="B5" s="988"/>
      <c r="C5" s="988"/>
      <c r="D5" s="988"/>
      <c r="E5" s="988"/>
      <c r="F5" s="11"/>
      <c r="G5" s="14" t="s">
        <v>4</v>
      </c>
      <c r="H5" s="1180">
        <v>0</v>
      </c>
      <c r="I5" s="1166">
        <f>1+H5</f>
        <v>1</v>
      </c>
      <c r="J5" s="14"/>
      <c r="K5" s="12"/>
    </row>
    <row r="6" spans="1:12" s="13" customFormat="1" ht="15.75">
      <c r="A6" s="988" t="s">
        <v>5</v>
      </c>
      <c r="B6" s="988"/>
      <c r="C6" s="988"/>
      <c r="D6" s="988"/>
      <c r="E6" s="988"/>
      <c r="F6" s="11"/>
      <c r="G6" s="14" t="s">
        <v>6</v>
      </c>
      <c r="H6" s="1180">
        <v>0</v>
      </c>
      <c r="I6" s="1166">
        <f>1+H6</f>
        <v>1</v>
      </c>
      <c r="J6" s="14"/>
      <c r="K6" s="12"/>
    </row>
    <row r="7" spans="1:12" s="13" customFormat="1" ht="15.75">
      <c r="A7" s="996" t="s">
        <v>7</v>
      </c>
      <c r="B7" s="996"/>
      <c r="C7" s="15">
        <f>8*30</f>
        <v>240</v>
      </c>
      <c r="D7" s="980" t="s">
        <v>8</v>
      </c>
      <c r="E7" s="15"/>
      <c r="F7" s="16"/>
      <c r="G7" s="997" t="s">
        <v>9</v>
      </c>
      <c r="H7" s="997"/>
      <c r="I7" s="17" t="s">
        <v>10</v>
      </c>
      <c r="J7" s="18"/>
      <c r="K7" s="12"/>
    </row>
    <row r="8" spans="1:12" ht="15" customHeight="1">
      <c r="A8" s="982"/>
      <c r="B8" s="982"/>
      <c r="C8" s="982"/>
      <c r="D8" s="982"/>
      <c r="E8" s="982"/>
      <c r="F8" s="19"/>
      <c r="G8" s="20"/>
      <c r="H8" s="20"/>
      <c r="I8" s="20"/>
      <c r="J8" s="20"/>
    </row>
    <row r="9" spans="1:12" ht="30" customHeight="1">
      <c r="A9" s="995" t="s">
        <v>11</v>
      </c>
      <c r="B9" s="995" t="s">
        <v>12</v>
      </c>
      <c r="C9" s="995" t="s">
        <v>13</v>
      </c>
      <c r="D9" s="995" t="s">
        <v>14</v>
      </c>
      <c r="E9" s="995" t="s">
        <v>15</v>
      </c>
      <c r="F9" s="998" t="s">
        <v>16</v>
      </c>
      <c r="G9" s="314" t="s">
        <v>17</v>
      </c>
      <c r="H9" s="314" t="s">
        <v>18</v>
      </c>
      <c r="I9" s="981" t="s">
        <v>19</v>
      </c>
      <c r="J9" s="315" t="s">
        <v>19</v>
      </c>
      <c r="K9" s="986" t="s">
        <v>20</v>
      </c>
    </row>
    <row r="10" spans="1:12">
      <c r="A10" s="995"/>
      <c r="B10" s="995"/>
      <c r="C10" s="995"/>
      <c r="D10" s="995"/>
      <c r="E10" s="995"/>
      <c r="F10" s="998"/>
      <c r="G10" s="314" t="s">
        <v>21</v>
      </c>
      <c r="H10" s="314" t="s">
        <v>22</v>
      </c>
      <c r="I10" s="316" t="s">
        <v>23</v>
      </c>
      <c r="J10" s="317" t="s">
        <v>22</v>
      </c>
      <c r="K10" s="986"/>
    </row>
    <row r="11" spans="1:12" ht="22.15" customHeight="1">
      <c r="A11" s="346"/>
      <c r="B11" s="346"/>
      <c r="C11" s="347" t="s">
        <v>24</v>
      </c>
      <c r="D11" s="23" t="s">
        <v>25</v>
      </c>
      <c r="E11" s="22"/>
      <c r="F11" s="24"/>
      <c r="G11" s="25"/>
      <c r="H11" s="25"/>
      <c r="I11" s="245">
        <f>SUM(I12:I18)</f>
        <v>0</v>
      </c>
      <c r="J11" s="245">
        <f>SUM(J12:J18)</f>
        <v>0</v>
      </c>
      <c r="K11" s="26" t="e">
        <f>J11/$J$685</f>
        <v>#DIV/0!</v>
      </c>
      <c r="L11" s="860"/>
    </row>
    <row r="12" spans="1:12" ht="30" customHeight="1" outlineLevel="1">
      <c r="A12" s="246">
        <v>90777</v>
      </c>
      <c r="B12" s="247" t="s">
        <v>26</v>
      </c>
      <c r="C12" s="247" t="s">
        <v>27</v>
      </c>
      <c r="D12" s="784" t="s">
        <v>28</v>
      </c>
      <c r="E12" s="567" t="s">
        <v>29</v>
      </c>
      <c r="F12" s="782">
        <f>'MEMORIAL DE CALCULO'!H8</f>
        <v>1408</v>
      </c>
      <c r="G12" s="1171"/>
      <c r="H12" s="563">
        <f t="shared" ref="H12:H18" si="0">G12*$I$5</f>
        <v>0</v>
      </c>
      <c r="I12" s="874">
        <f t="shared" ref="I12:I18" si="1">F12*G12</f>
        <v>0</v>
      </c>
      <c r="J12" s="874">
        <f t="shared" ref="J12:J18" si="2">F12*H12</f>
        <v>0</v>
      </c>
      <c r="K12" s="562"/>
    </row>
    <row r="13" spans="1:12" ht="30" customHeight="1" outlineLevel="1">
      <c r="A13" s="246">
        <v>91677</v>
      </c>
      <c r="B13" s="247" t="s">
        <v>26</v>
      </c>
      <c r="C13" s="247" t="s">
        <v>30</v>
      </c>
      <c r="D13" s="784" t="s">
        <v>31</v>
      </c>
      <c r="E13" s="567" t="s">
        <v>29</v>
      </c>
      <c r="F13" s="782">
        <f>'MEMORIAL DE CALCULO'!H11</f>
        <v>1056</v>
      </c>
      <c r="G13" s="1171"/>
      <c r="H13" s="563">
        <f t="shared" si="0"/>
        <v>0</v>
      </c>
      <c r="I13" s="874">
        <f t="shared" si="1"/>
        <v>0</v>
      </c>
      <c r="J13" s="874">
        <f t="shared" si="2"/>
        <v>0</v>
      </c>
      <c r="K13" s="562"/>
    </row>
    <row r="14" spans="1:12" ht="16.149999999999999" customHeight="1" outlineLevel="1">
      <c r="A14" s="246">
        <v>90780</v>
      </c>
      <c r="B14" s="247" t="s">
        <v>26</v>
      </c>
      <c r="C14" s="247" t="s">
        <v>32</v>
      </c>
      <c r="D14" s="774" t="s">
        <v>33</v>
      </c>
      <c r="E14" s="353" t="s">
        <v>29</v>
      </c>
      <c r="F14" s="360">
        <f>'MEMORIAL DE CALCULO'!H12</f>
        <v>1408</v>
      </c>
      <c r="G14" s="1172"/>
      <c r="H14" s="350">
        <f t="shared" si="0"/>
        <v>0</v>
      </c>
      <c r="I14" s="874">
        <f t="shared" si="1"/>
        <v>0</v>
      </c>
      <c r="J14" s="874">
        <f t="shared" si="2"/>
        <v>0</v>
      </c>
      <c r="K14" s="32"/>
    </row>
    <row r="15" spans="1:12" ht="16.149999999999999" customHeight="1" outlineLevel="1">
      <c r="A15" s="246">
        <v>90776</v>
      </c>
      <c r="B15" s="247" t="s">
        <v>26</v>
      </c>
      <c r="C15" s="247" t="s">
        <v>34</v>
      </c>
      <c r="D15" s="774" t="s">
        <v>35</v>
      </c>
      <c r="E15" s="353" t="s">
        <v>29</v>
      </c>
      <c r="F15" s="360">
        <f>'MEMORIAL DE CALCULO'!H14</f>
        <v>1408</v>
      </c>
      <c r="G15" s="1172"/>
      <c r="H15" s="350">
        <f t="shared" si="0"/>
        <v>0</v>
      </c>
      <c r="I15" s="874">
        <f t="shared" si="1"/>
        <v>0</v>
      </c>
      <c r="J15" s="874">
        <f t="shared" si="2"/>
        <v>0</v>
      </c>
      <c r="K15" s="32"/>
    </row>
    <row r="16" spans="1:12" ht="16.149999999999999" customHeight="1" outlineLevel="1">
      <c r="A16" s="246">
        <v>90766</v>
      </c>
      <c r="B16" s="247" t="s">
        <v>26</v>
      </c>
      <c r="C16" s="247" t="s">
        <v>36</v>
      </c>
      <c r="D16" s="774" t="s">
        <v>37</v>
      </c>
      <c r="E16" s="353" t="s">
        <v>29</v>
      </c>
      <c r="F16" s="360">
        <f>'MEMORIAL DE CALCULO'!H16</f>
        <v>1408</v>
      </c>
      <c r="G16" s="1172"/>
      <c r="H16" s="350">
        <f t="shared" si="0"/>
        <v>0</v>
      </c>
      <c r="I16" s="874">
        <f t="shared" si="1"/>
        <v>0</v>
      </c>
      <c r="J16" s="874">
        <f t="shared" si="2"/>
        <v>0</v>
      </c>
      <c r="K16" s="32"/>
    </row>
    <row r="17" spans="1:11" ht="16.149999999999999" customHeight="1" outlineLevel="1">
      <c r="A17" s="246">
        <v>88326</v>
      </c>
      <c r="B17" s="247" t="s">
        <v>26</v>
      </c>
      <c r="C17" s="247" t="s">
        <v>38</v>
      </c>
      <c r="D17" s="774" t="s">
        <v>39</v>
      </c>
      <c r="E17" s="353" t="s">
        <v>40</v>
      </c>
      <c r="F17" s="360">
        <f>'MEMORIAL DE CALCULO'!H18</f>
        <v>2880</v>
      </c>
      <c r="G17" s="1172"/>
      <c r="H17" s="350">
        <f t="shared" si="0"/>
        <v>0</v>
      </c>
      <c r="I17" s="874">
        <f t="shared" si="1"/>
        <v>0</v>
      </c>
      <c r="J17" s="874">
        <f t="shared" si="2"/>
        <v>0</v>
      </c>
      <c r="K17" s="32"/>
    </row>
    <row r="18" spans="1:11" ht="16.149999999999999" customHeight="1" outlineLevel="1">
      <c r="A18" s="246">
        <v>100289</v>
      </c>
      <c r="B18" s="247" t="s">
        <v>26</v>
      </c>
      <c r="C18" s="247" t="s">
        <v>41</v>
      </c>
      <c r="D18" s="783" t="s">
        <v>42</v>
      </c>
      <c r="E18" s="355" t="s">
        <v>40</v>
      </c>
      <c r="F18" s="771">
        <f>'MEMORIAL DE CALCULO'!H20</f>
        <v>1152</v>
      </c>
      <c r="G18" s="1173"/>
      <c r="H18" s="318">
        <f t="shared" si="0"/>
        <v>0</v>
      </c>
      <c r="I18" s="874">
        <f t="shared" si="1"/>
        <v>0</v>
      </c>
      <c r="J18" s="874">
        <f t="shared" si="2"/>
        <v>0</v>
      </c>
      <c r="K18" s="319"/>
    </row>
    <row r="19" spans="1:11" ht="22.15" customHeight="1">
      <c r="A19" s="347"/>
      <c r="B19" s="347"/>
      <c r="C19" s="347" t="s">
        <v>43</v>
      </c>
      <c r="D19" s="23" t="s">
        <v>44</v>
      </c>
      <c r="E19" s="22"/>
      <c r="F19" s="27"/>
      <c r="G19" s="28"/>
      <c r="H19" s="28"/>
      <c r="I19" s="245">
        <f>I20+I22+I27+I39</f>
        <v>0</v>
      </c>
      <c r="J19" s="245">
        <f>J20+J22+J27+J39</f>
        <v>0</v>
      </c>
      <c r="K19" s="26" t="e">
        <f>J19/$J$685</f>
        <v>#DIV/0!</v>
      </c>
    </row>
    <row r="20" spans="1:11" s="1" customFormat="1" ht="20.45" customHeight="1" outlineLevel="1">
      <c r="A20" s="246"/>
      <c r="B20" s="247"/>
      <c r="C20" s="249" t="s">
        <v>45</v>
      </c>
      <c r="D20" s="29" t="s">
        <v>46</v>
      </c>
      <c r="E20" s="984"/>
      <c r="F20" s="30"/>
      <c r="G20" s="31"/>
      <c r="H20" s="31"/>
      <c r="I20" s="250">
        <f>I21</f>
        <v>0</v>
      </c>
      <c r="J20" s="250">
        <f>J21</f>
        <v>0</v>
      </c>
      <c r="K20" s="32" t="e">
        <f>J20/$J$685</f>
        <v>#DIV/0!</v>
      </c>
    </row>
    <row r="21" spans="1:11" ht="85.5" outlineLevel="2">
      <c r="A21" s="246">
        <v>73467</v>
      </c>
      <c r="B21" s="247" t="s">
        <v>26</v>
      </c>
      <c r="C21" s="247" t="s">
        <v>47</v>
      </c>
      <c r="D21" s="763" t="s">
        <v>48</v>
      </c>
      <c r="E21" s="33" t="s">
        <v>49</v>
      </c>
      <c r="F21" s="764">
        <f>'MEMORIAL DE CALCULO'!H31</f>
        <v>520</v>
      </c>
      <c r="G21" s="1170"/>
      <c r="H21" s="35">
        <f>G21*$I$5</f>
        <v>0</v>
      </c>
      <c r="I21" s="874">
        <f>F21*G21</f>
        <v>0</v>
      </c>
      <c r="J21" s="874">
        <f>F21*H21</f>
        <v>0</v>
      </c>
      <c r="K21" s="243"/>
    </row>
    <row r="22" spans="1:11" s="1" customFormat="1" ht="18.75" customHeight="1" outlineLevel="1">
      <c r="A22" s="246"/>
      <c r="B22" s="247"/>
      <c r="C22" s="249" t="s">
        <v>50</v>
      </c>
      <c r="D22" s="785" t="s">
        <v>51</v>
      </c>
      <c r="E22" s="983"/>
      <c r="F22" s="831"/>
      <c r="G22" s="1181"/>
      <c r="H22" s="31"/>
      <c r="I22" s="250">
        <f>SUM(I23:I26)</f>
        <v>0</v>
      </c>
      <c r="J22" s="250">
        <f>SUM(J23:J26)</f>
        <v>0</v>
      </c>
      <c r="K22" s="32" t="e">
        <f>J22/$J$685</f>
        <v>#DIV/0!</v>
      </c>
    </row>
    <row r="23" spans="1:11" outlineLevel="2">
      <c r="A23" s="246"/>
      <c r="B23" s="247" t="s">
        <v>52</v>
      </c>
      <c r="C23" s="247" t="s">
        <v>53</v>
      </c>
      <c r="D23" s="839" t="s">
        <v>54</v>
      </c>
      <c r="E23" s="567" t="s">
        <v>55</v>
      </c>
      <c r="F23" s="782">
        <f>'MEMORIAL DE CALCULO'!H33</f>
        <v>1</v>
      </c>
      <c r="G23" s="1171"/>
      <c r="H23" s="563">
        <f>G23*$I$5</f>
        <v>0</v>
      </c>
      <c r="I23" s="874">
        <f>F23*G23</f>
        <v>0</v>
      </c>
      <c r="J23" s="874">
        <f>F23*H23</f>
        <v>0</v>
      </c>
      <c r="K23" s="566"/>
    </row>
    <row r="24" spans="1:11" outlineLevel="2">
      <c r="A24" s="246"/>
      <c r="B24" s="247" t="s">
        <v>52</v>
      </c>
      <c r="C24" s="247" t="s">
        <v>56</v>
      </c>
      <c r="D24" s="840" t="s">
        <v>57</v>
      </c>
      <c r="E24" s="353" t="s">
        <v>55</v>
      </c>
      <c r="F24" s="360">
        <f>'MEMORIAL DE CALCULO'!H36</f>
        <v>1</v>
      </c>
      <c r="G24" s="1171"/>
      <c r="H24" s="350">
        <f>G24*$I$5</f>
        <v>0</v>
      </c>
      <c r="I24" s="874">
        <f>F24*G24</f>
        <v>0</v>
      </c>
      <c r="J24" s="874">
        <f>F24*H24</f>
        <v>0</v>
      </c>
      <c r="K24" s="244"/>
    </row>
    <row r="25" spans="1:11" outlineLevel="2">
      <c r="A25" s="246"/>
      <c r="B25" s="247" t="s">
        <v>58</v>
      </c>
      <c r="C25" s="247" t="s">
        <v>59</v>
      </c>
      <c r="D25" s="840" t="s">
        <v>60</v>
      </c>
      <c r="E25" s="353" t="s">
        <v>61</v>
      </c>
      <c r="F25" s="360">
        <f>'MEMORIAL DE CALCULO'!N38</f>
        <v>2932.4</v>
      </c>
      <c r="G25" s="1172"/>
      <c r="H25" s="350">
        <f>G25*$I$5</f>
        <v>0</v>
      </c>
      <c r="I25" s="874">
        <f>F25*G25</f>
        <v>0</v>
      </c>
      <c r="J25" s="874">
        <f>F25*H25</f>
        <v>0</v>
      </c>
      <c r="K25" s="244"/>
    </row>
    <row r="26" spans="1:11" outlineLevel="2">
      <c r="A26" s="246"/>
      <c r="B26" s="247" t="s">
        <v>62</v>
      </c>
      <c r="C26" s="247" t="s">
        <v>63</v>
      </c>
      <c r="D26" s="841" t="s">
        <v>64</v>
      </c>
      <c r="E26" s="355" t="s">
        <v>61</v>
      </c>
      <c r="F26" s="771">
        <f>'MEMORIAL DE CALCULO'!N40</f>
        <v>2932.4</v>
      </c>
      <c r="G26" s="1173"/>
      <c r="H26" s="318">
        <f>G26*$I$5</f>
        <v>0</v>
      </c>
      <c r="I26" s="874">
        <f>F26*G26</f>
        <v>0</v>
      </c>
      <c r="J26" s="874">
        <f>F26*H26</f>
        <v>0</v>
      </c>
      <c r="K26" s="320"/>
    </row>
    <row r="27" spans="1:11" s="1" customFormat="1" ht="18" customHeight="1" outlineLevel="1">
      <c r="A27" s="246"/>
      <c r="B27" s="247"/>
      <c r="C27" s="249" t="s">
        <v>65</v>
      </c>
      <c r="D27" s="785" t="s">
        <v>66</v>
      </c>
      <c r="E27" s="983"/>
      <c r="F27" s="831"/>
      <c r="G27" s="1181"/>
      <c r="H27" s="31"/>
      <c r="I27" s="250">
        <f>SUM(I28:I38)</f>
        <v>0</v>
      </c>
      <c r="J27" s="250">
        <f>SUM(J28:J38)</f>
        <v>0</v>
      </c>
      <c r="K27" s="32" t="e">
        <f>J27/$J$685</f>
        <v>#DIV/0!</v>
      </c>
    </row>
    <row r="28" spans="1:11" s="1" customFormat="1" ht="42.75" outlineLevel="2">
      <c r="A28" s="353">
        <v>9416</v>
      </c>
      <c r="B28" s="564" t="s">
        <v>67</v>
      </c>
      <c r="C28" s="564" t="s">
        <v>68</v>
      </c>
      <c r="D28" s="842" t="s">
        <v>69</v>
      </c>
      <c r="E28" s="567" t="s">
        <v>55</v>
      </c>
      <c r="F28" s="360">
        <f>'MEMORIAL DE CALCULO'!H43</f>
        <v>1</v>
      </c>
      <c r="G28" s="1172"/>
      <c r="H28" s="565">
        <f t="shared" ref="H28:H29" si="3">G28*$I$5</f>
        <v>0</v>
      </c>
      <c r="I28" s="565">
        <f t="shared" ref="I28:I29" si="4">F28*G28</f>
        <v>0</v>
      </c>
      <c r="J28" s="563">
        <f t="shared" ref="J28:J29" si="5">F28*H28</f>
        <v>0</v>
      </c>
      <c r="K28" s="354"/>
    </row>
    <row r="29" spans="1:11" s="1" customFormat="1" ht="57" outlineLevel="2">
      <c r="A29" s="353">
        <v>6096</v>
      </c>
      <c r="B29" s="564" t="s">
        <v>67</v>
      </c>
      <c r="C29" s="564" t="s">
        <v>70</v>
      </c>
      <c r="D29" s="842" t="s">
        <v>71</v>
      </c>
      <c r="E29" s="567" t="s">
        <v>55</v>
      </c>
      <c r="F29" s="360">
        <f>'MEMORIAL DE CALCULO'!H45</f>
        <v>1</v>
      </c>
      <c r="G29" s="1172"/>
      <c r="H29" s="565">
        <f t="shared" si="3"/>
        <v>0</v>
      </c>
      <c r="I29" s="565">
        <f t="shared" si="4"/>
        <v>0</v>
      </c>
      <c r="J29" s="563">
        <f t="shared" si="5"/>
        <v>0</v>
      </c>
      <c r="K29" s="354"/>
    </row>
    <row r="30" spans="1:11" ht="43.9" customHeight="1" outlineLevel="2">
      <c r="A30" s="567">
        <v>11397</v>
      </c>
      <c r="B30" s="564" t="s">
        <v>67</v>
      </c>
      <c r="C30" s="564" t="s">
        <v>72</v>
      </c>
      <c r="D30" s="843" t="s">
        <v>73</v>
      </c>
      <c r="E30" s="567" t="s">
        <v>55</v>
      </c>
      <c r="F30" s="782">
        <f>'MEMORIAL DE CALCULO'!H47</f>
        <v>1</v>
      </c>
      <c r="G30" s="1171"/>
      <c r="H30" s="565">
        <f t="shared" ref="H30:H36" si="6">G30*$I$5</f>
        <v>0</v>
      </c>
      <c r="I30" s="565">
        <f t="shared" ref="I30:I36" si="7">F30*G30</f>
        <v>0</v>
      </c>
      <c r="J30" s="563">
        <f t="shared" ref="J30:J36" si="8">F30*H30</f>
        <v>0</v>
      </c>
      <c r="K30" s="568"/>
    </row>
    <row r="31" spans="1:11" ht="28.5" outlineLevel="2">
      <c r="A31" s="353">
        <v>2491</v>
      </c>
      <c r="B31" s="564" t="s">
        <v>67</v>
      </c>
      <c r="C31" s="564" t="s">
        <v>74</v>
      </c>
      <c r="D31" s="842" t="s">
        <v>75</v>
      </c>
      <c r="E31" s="353" t="s">
        <v>61</v>
      </c>
      <c r="F31" s="360">
        <f>'MEMORIAL DE CALCULO'!N49</f>
        <v>2895.75</v>
      </c>
      <c r="G31" s="1172"/>
      <c r="H31" s="349">
        <f t="shared" si="6"/>
        <v>0</v>
      </c>
      <c r="I31" s="349">
        <f t="shared" si="7"/>
        <v>0</v>
      </c>
      <c r="J31" s="350">
        <f t="shared" si="8"/>
        <v>0</v>
      </c>
      <c r="K31" s="354"/>
    </row>
    <row r="32" spans="1:11" ht="25.5" customHeight="1" outlineLevel="2">
      <c r="A32" s="353">
        <v>98459</v>
      </c>
      <c r="B32" s="348" t="s">
        <v>26</v>
      </c>
      <c r="C32" s="564" t="s">
        <v>76</v>
      </c>
      <c r="D32" s="985" t="s">
        <v>77</v>
      </c>
      <c r="E32" s="353" t="s">
        <v>61</v>
      </c>
      <c r="F32" s="360">
        <f>'MEMORIAL DE CALCULO'!N52</f>
        <v>190.54200000000003</v>
      </c>
      <c r="G32" s="1172"/>
      <c r="H32" s="349">
        <f t="shared" si="6"/>
        <v>0</v>
      </c>
      <c r="I32" s="349">
        <f t="shared" si="7"/>
        <v>0</v>
      </c>
      <c r="J32" s="350">
        <f t="shared" si="8"/>
        <v>0</v>
      </c>
      <c r="K32" s="354"/>
    </row>
    <row r="33" spans="1:11" ht="28.5" outlineLevel="2">
      <c r="A33" s="353">
        <v>4657</v>
      </c>
      <c r="B33" s="348" t="s">
        <v>67</v>
      </c>
      <c r="C33" s="564" t="s">
        <v>78</v>
      </c>
      <c r="D33" s="985" t="s">
        <v>79</v>
      </c>
      <c r="E33" s="353" t="s">
        <v>80</v>
      </c>
      <c r="F33" s="838">
        <f>'MEMORIAL DE CALCULO'!H55</f>
        <v>8</v>
      </c>
      <c r="G33" s="1174"/>
      <c r="H33" s="349">
        <f t="shared" si="6"/>
        <v>0</v>
      </c>
      <c r="I33" s="349">
        <f t="shared" si="7"/>
        <v>0</v>
      </c>
      <c r="J33" s="350">
        <f t="shared" si="8"/>
        <v>0</v>
      </c>
      <c r="K33" s="354"/>
    </row>
    <row r="34" spans="1:11" ht="42" customHeight="1" outlineLevel="2">
      <c r="A34" s="353">
        <v>61</v>
      </c>
      <c r="B34" s="348" t="s">
        <v>67</v>
      </c>
      <c r="C34" s="564" t="s">
        <v>81</v>
      </c>
      <c r="D34" s="985" t="s">
        <v>82</v>
      </c>
      <c r="E34" s="353" t="s">
        <v>55</v>
      </c>
      <c r="F34" s="838">
        <f>'MEMORIAL DE CALCULO'!H57</f>
        <v>1</v>
      </c>
      <c r="G34" s="1174"/>
      <c r="H34" s="349">
        <f t="shared" si="6"/>
        <v>0</v>
      </c>
      <c r="I34" s="349">
        <f t="shared" si="7"/>
        <v>0</v>
      </c>
      <c r="J34" s="350">
        <f t="shared" si="8"/>
        <v>0</v>
      </c>
      <c r="K34" s="354"/>
    </row>
    <row r="35" spans="1:11" ht="36.75" customHeight="1" outlineLevel="2">
      <c r="A35" s="355">
        <v>4654</v>
      </c>
      <c r="B35" s="351" t="s">
        <v>67</v>
      </c>
      <c r="C35" s="564" t="s">
        <v>83</v>
      </c>
      <c r="D35" s="844" t="s">
        <v>84</v>
      </c>
      <c r="E35" s="355" t="s">
        <v>80</v>
      </c>
      <c r="F35" s="845">
        <f>'MEMORIAL DE CALCULO'!H59</f>
        <v>8</v>
      </c>
      <c r="G35" s="1175"/>
      <c r="H35" s="352">
        <f t="shared" si="6"/>
        <v>0</v>
      </c>
      <c r="I35" s="352">
        <f t="shared" si="7"/>
        <v>0</v>
      </c>
      <c r="J35" s="318">
        <f t="shared" si="8"/>
        <v>0</v>
      </c>
      <c r="K35" s="356"/>
    </row>
    <row r="36" spans="1:11" ht="33" customHeight="1" outlineLevel="2">
      <c r="A36" s="296">
        <v>4656</v>
      </c>
      <c r="B36" s="351" t="s">
        <v>67</v>
      </c>
      <c r="C36" s="564" t="s">
        <v>85</v>
      </c>
      <c r="D36" s="777" t="s">
        <v>86</v>
      </c>
      <c r="E36" s="296" t="s">
        <v>80</v>
      </c>
      <c r="F36" s="846">
        <f>'MEMORIAL DE CALCULO'!H61</f>
        <v>8</v>
      </c>
      <c r="G36" s="1176"/>
      <c r="H36" s="293">
        <f t="shared" si="6"/>
        <v>0</v>
      </c>
      <c r="I36" s="293">
        <f t="shared" si="7"/>
        <v>0</v>
      </c>
      <c r="J36" s="293">
        <f t="shared" si="8"/>
        <v>0</v>
      </c>
      <c r="K36" s="297"/>
    </row>
    <row r="37" spans="1:11" ht="33" customHeight="1" outlineLevel="2">
      <c r="A37" s="299">
        <v>100947</v>
      </c>
      <c r="B37" s="300" t="s">
        <v>26</v>
      </c>
      <c r="C37" s="564" t="s">
        <v>87</v>
      </c>
      <c r="D37" s="847" t="s">
        <v>88</v>
      </c>
      <c r="E37" s="299" t="s">
        <v>89</v>
      </c>
      <c r="F37" s="848">
        <f>'MEMORIAL DE CALCULO'!H63</f>
        <v>630</v>
      </c>
      <c r="G37" s="1177"/>
      <c r="H37" s="301">
        <f t="shared" ref="H37" si="9">G37*$I$5</f>
        <v>0</v>
      </c>
      <c r="I37" s="301">
        <f t="shared" ref="I37" si="10">F37*G37</f>
        <v>0</v>
      </c>
      <c r="J37" s="301">
        <f t="shared" ref="J37" si="11">F37*H37</f>
        <v>0</v>
      </c>
      <c r="K37" s="302"/>
    </row>
    <row r="38" spans="1:11" ht="45.75" customHeight="1" outlineLevel="2">
      <c r="A38" s="306">
        <v>100948</v>
      </c>
      <c r="B38" s="292" t="s">
        <v>26</v>
      </c>
      <c r="C38" s="564" t="s">
        <v>90</v>
      </c>
      <c r="D38" s="777" t="s">
        <v>91</v>
      </c>
      <c r="E38" s="296" t="s">
        <v>89</v>
      </c>
      <c r="F38" s="846">
        <f>'MEMORIAL DE CALCULO'!H65</f>
        <v>1470</v>
      </c>
      <c r="G38" s="1176"/>
      <c r="H38" s="293">
        <f t="shared" ref="H38" si="12">G38*$I$5</f>
        <v>0</v>
      </c>
      <c r="I38" s="293">
        <f t="shared" ref="I38" si="13">F38*G38</f>
        <v>0</v>
      </c>
      <c r="J38" s="293">
        <f t="shared" ref="J38" si="14">F38*H38</f>
        <v>0</v>
      </c>
      <c r="K38" s="297"/>
    </row>
    <row r="39" spans="1:11" s="1" customFormat="1" ht="18" customHeight="1" outlineLevel="1">
      <c r="A39" s="569"/>
      <c r="B39" s="570"/>
      <c r="C39" s="571" t="s">
        <v>92</v>
      </c>
      <c r="D39" s="558" t="s">
        <v>93</v>
      </c>
      <c r="E39" s="559"/>
      <c r="F39" s="560"/>
      <c r="G39" s="1181"/>
      <c r="H39" s="561"/>
      <c r="I39" s="572">
        <f>SUM(I40:I56)</f>
        <v>0</v>
      </c>
      <c r="J39" s="572">
        <f>SUM(J40:J56)</f>
        <v>0</v>
      </c>
      <c r="K39" s="562" t="e">
        <f>J39/$J$685</f>
        <v>#DIV/0!</v>
      </c>
    </row>
    <row r="40" spans="1:11" ht="28.5" outlineLevel="1">
      <c r="A40" s="353">
        <v>5029</v>
      </c>
      <c r="B40" s="348" t="s">
        <v>67</v>
      </c>
      <c r="C40" s="348" t="s">
        <v>94</v>
      </c>
      <c r="D40" s="985" t="s">
        <v>95</v>
      </c>
      <c r="E40" s="353" t="s">
        <v>96</v>
      </c>
      <c r="F40" s="838">
        <f>'MEMORIAL DE CALCULO'!H69</f>
        <v>12</v>
      </c>
      <c r="G40" s="1174"/>
      <c r="H40" s="780">
        <f t="shared" ref="H40" si="15">G40*$I$5</f>
        <v>0</v>
      </c>
      <c r="I40" s="293">
        <f t="shared" ref="I40" si="16">F40*G40</f>
        <v>0</v>
      </c>
      <c r="J40" s="293">
        <f t="shared" ref="J40" si="17">F40*H40</f>
        <v>0</v>
      </c>
      <c r="K40" s="354"/>
    </row>
    <row r="41" spans="1:11" ht="28.5" outlineLevel="1">
      <c r="A41" s="355">
        <v>98528</v>
      </c>
      <c r="B41" s="351" t="s">
        <v>26</v>
      </c>
      <c r="C41" s="348" t="s">
        <v>97</v>
      </c>
      <c r="D41" s="985" t="s">
        <v>98</v>
      </c>
      <c r="E41" s="353" t="s">
        <v>96</v>
      </c>
      <c r="F41" s="838">
        <f>'MEMORIAL DE CALCULO'!H72</f>
        <v>12</v>
      </c>
      <c r="G41" s="1174"/>
      <c r="H41" s="780">
        <f t="shared" ref="H41" si="18">G41*$I$5</f>
        <v>0</v>
      </c>
      <c r="I41" s="293">
        <f t="shared" ref="I41" si="19">F41*G41</f>
        <v>0</v>
      </c>
      <c r="J41" s="293">
        <f t="shared" ref="J41" si="20">F41*H41</f>
        <v>0</v>
      </c>
      <c r="K41" s="354"/>
    </row>
    <row r="42" spans="1:11" outlineLevel="1">
      <c r="A42" s="355">
        <v>3240</v>
      </c>
      <c r="B42" s="351" t="s">
        <v>67</v>
      </c>
      <c r="C42" s="348" t="s">
        <v>99</v>
      </c>
      <c r="D42" s="985" t="s">
        <v>100</v>
      </c>
      <c r="E42" s="353" t="s">
        <v>61</v>
      </c>
      <c r="F42" s="838">
        <f>'MEMORIAL DE CALCULO'!N75</f>
        <v>608.93000000000006</v>
      </c>
      <c r="G42" s="1174"/>
      <c r="H42" s="780">
        <f t="shared" ref="H42" si="21">G42*$I$5</f>
        <v>0</v>
      </c>
      <c r="I42" s="293">
        <f t="shared" ref="I42" si="22">F42*G42</f>
        <v>0</v>
      </c>
      <c r="J42" s="293">
        <f t="shared" ref="J42" si="23">F42*H42</f>
        <v>0</v>
      </c>
      <c r="K42" s="354"/>
    </row>
    <row r="43" spans="1:11" ht="28.5" outlineLevel="1">
      <c r="A43" s="355">
        <v>7989</v>
      </c>
      <c r="B43" s="351" t="s">
        <v>67</v>
      </c>
      <c r="C43" s="348" t="s">
        <v>101</v>
      </c>
      <c r="D43" s="985" t="s">
        <v>102</v>
      </c>
      <c r="E43" s="353" t="s">
        <v>61</v>
      </c>
      <c r="F43" s="838">
        <f>'MEMORIAL DE CALCULO'!N78</f>
        <v>750.83</v>
      </c>
      <c r="G43" s="1174"/>
      <c r="H43" s="780">
        <f t="shared" ref="H43" si="24">G43*$I$5</f>
        <v>0</v>
      </c>
      <c r="I43" s="293">
        <f t="shared" ref="I43" si="25">F43*G43</f>
        <v>0</v>
      </c>
      <c r="J43" s="293">
        <f t="shared" ref="J43" si="26">F43*H43</f>
        <v>0</v>
      </c>
      <c r="K43" s="354"/>
    </row>
    <row r="44" spans="1:11" ht="42.75" outlineLevel="1">
      <c r="A44" s="355">
        <v>97649</v>
      </c>
      <c r="B44" s="351" t="s">
        <v>26</v>
      </c>
      <c r="C44" s="348" t="s">
        <v>103</v>
      </c>
      <c r="D44" s="985" t="s">
        <v>104</v>
      </c>
      <c r="E44" s="353" t="s">
        <v>61</v>
      </c>
      <c r="F44" s="838">
        <f>'MEMORIAL DE CALCULO'!N80</f>
        <v>778.53610000000003</v>
      </c>
      <c r="G44" s="1174"/>
      <c r="H44" s="780">
        <f t="shared" ref="H44:H50" si="27">G44*$I$5</f>
        <v>0</v>
      </c>
      <c r="I44" s="293">
        <f t="shared" ref="I44:I50" si="28">F44*G44</f>
        <v>0</v>
      </c>
      <c r="J44" s="293">
        <f t="shared" ref="J44:J50" si="29">F44*H44</f>
        <v>0</v>
      </c>
      <c r="K44" s="354"/>
    </row>
    <row r="45" spans="1:11" ht="28.5" outlineLevel="1">
      <c r="A45" s="355">
        <v>4977</v>
      </c>
      <c r="B45" s="351" t="s">
        <v>67</v>
      </c>
      <c r="C45" s="348" t="s">
        <v>105</v>
      </c>
      <c r="D45" s="985" t="s">
        <v>106</v>
      </c>
      <c r="E45" s="353" t="s">
        <v>61</v>
      </c>
      <c r="F45" s="838">
        <f>'MEMORIAL DE CALCULO'!N91</f>
        <v>778.53610000000003</v>
      </c>
      <c r="G45" s="1174"/>
      <c r="H45" s="780">
        <f t="shared" si="27"/>
        <v>0</v>
      </c>
      <c r="I45" s="293">
        <f t="shared" si="28"/>
        <v>0</v>
      </c>
      <c r="J45" s="293">
        <f t="shared" si="29"/>
        <v>0</v>
      </c>
      <c r="K45" s="354"/>
    </row>
    <row r="46" spans="1:11" ht="28.5" outlineLevel="1">
      <c r="A46" s="355">
        <v>97629</v>
      </c>
      <c r="B46" s="351" t="s">
        <v>26</v>
      </c>
      <c r="C46" s="348" t="s">
        <v>107</v>
      </c>
      <c r="D46" s="985" t="s">
        <v>108</v>
      </c>
      <c r="E46" s="353" t="s">
        <v>109</v>
      </c>
      <c r="F46" s="838">
        <f>'MEMORIAL DE CALCULO'!O102</f>
        <v>258.84976000000006</v>
      </c>
      <c r="G46" s="1174"/>
      <c r="H46" s="780">
        <f t="shared" si="27"/>
        <v>0</v>
      </c>
      <c r="I46" s="293">
        <f t="shared" si="28"/>
        <v>0</v>
      </c>
      <c r="J46" s="293">
        <f t="shared" si="29"/>
        <v>0</v>
      </c>
      <c r="K46" s="354"/>
    </row>
    <row r="47" spans="1:11" ht="42.75" outlineLevel="1">
      <c r="A47" s="355">
        <v>97627</v>
      </c>
      <c r="B47" s="351" t="s">
        <v>26</v>
      </c>
      <c r="C47" s="348" t="s">
        <v>110</v>
      </c>
      <c r="D47" s="985" t="s">
        <v>111</v>
      </c>
      <c r="E47" s="353" t="s">
        <v>109</v>
      </c>
      <c r="F47" s="838">
        <f>'MEMORIAL DE CALCULO'!O113</f>
        <v>21.024389999999997</v>
      </c>
      <c r="G47" s="1174"/>
      <c r="H47" s="780">
        <f t="shared" si="27"/>
        <v>0</v>
      </c>
      <c r="I47" s="293">
        <f t="shared" si="28"/>
        <v>0</v>
      </c>
      <c r="J47" s="293">
        <f t="shared" si="29"/>
        <v>0</v>
      </c>
      <c r="K47" s="354"/>
    </row>
    <row r="48" spans="1:11" ht="42.75" outlineLevel="1">
      <c r="A48" s="355">
        <v>97625</v>
      </c>
      <c r="B48" s="351" t="s">
        <v>26</v>
      </c>
      <c r="C48" s="348" t="s">
        <v>112</v>
      </c>
      <c r="D48" s="985" t="s">
        <v>113</v>
      </c>
      <c r="E48" s="353" t="s">
        <v>109</v>
      </c>
      <c r="F48" s="838">
        <f>'MEMORIAL DE CALCULO'!O131</f>
        <v>532.62940500000002</v>
      </c>
      <c r="G48" s="1174"/>
      <c r="H48" s="780">
        <f t="shared" si="27"/>
        <v>0</v>
      </c>
      <c r="I48" s="293">
        <f t="shared" si="28"/>
        <v>0</v>
      </c>
      <c r="J48" s="293">
        <f t="shared" si="29"/>
        <v>0</v>
      </c>
      <c r="K48" s="354"/>
    </row>
    <row r="49" spans="1:12" ht="57" outlineLevel="1">
      <c r="A49" s="355">
        <v>100981</v>
      </c>
      <c r="B49" s="351" t="s">
        <v>26</v>
      </c>
      <c r="C49" s="348" t="s">
        <v>114</v>
      </c>
      <c r="D49" s="985" t="s">
        <v>115</v>
      </c>
      <c r="E49" s="353" t="s">
        <v>109</v>
      </c>
      <c r="F49" s="838">
        <f>'MEMORIAL DE CALCULO'!O144</f>
        <v>1837.8278660000001</v>
      </c>
      <c r="G49" s="1174"/>
      <c r="H49" s="780">
        <f t="shared" si="27"/>
        <v>0</v>
      </c>
      <c r="I49" s="293">
        <f t="shared" si="28"/>
        <v>0</v>
      </c>
      <c r="J49" s="293">
        <f t="shared" si="29"/>
        <v>0</v>
      </c>
      <c r="K49" s="354"/>
    </row>
    <row r="50" spans="1:12" outlineLevel="1">
      <c r="A50" s="355">
        <v>26</v>
      </c>
      <c r="B50" s="351" t="s">
        <v>67</v>
      </c>
      <c r="C50" s="348" t="s">
        <v>116</v>
      </c>
      <c r="D50" s="985" t="s">
        <v>117</v>
      </c>
      <c r="E50" s="353" t="s">
        <v>109</v>
      </c>
      <c r="F50" s="838">
        <f>'MEMORIAL DE CALCULO'!O154</f>
        <v>1837.8278660000001</v>
      </c>
      <c r="G50" s="1174"/>
      <c r="H50" s="780">
        <f t="shared" si="27"/>
        <v>0</v>
      </c>
      <c r="I50" s="293">
        <f t="shared" si="28"/>
        <v>0</v>
      </c>
      <c r="J50" s="293">
        <f t="shared" si="29"/>
        <v>0</v>
      </c>
      <c r="K50" s="354"/>
    </row>
    <row r="51" spans="1:12" ht="42.75" outlineLevel="1">
      <c r="A51" s="355">
        <v>95876</v>
      </c>
      <c r="B51" s="351" t="s">
        <v>26</v>
      </c>
      <c r="C51" s="348" t="s">
        <v>118</v>
      </c>
      <c r="D51" s="985" t="s">
        <v>119</v>
      </c>
      <c r="E51" s="353" t="s">
        <v>120</v>
      </c>
      <c r="F51" s="838">
        <f>'MEMORIAL DE CALCULO'!H164</f>
        <v>55134.835980000003</v>
      </c>
      <c r="G51" s="1174"/>
      <c r="H51" s="780">
        <f t="shared" ref="H51" si="30">G51*$I$5</f>
        <v>0</v>
      </c>
      <c r="I51" s="293">
        <f t="shared" ref="I51" si="31">F51*G51</f>
        <v>0</v>
      </c>
      <c r="J51" s="293">
        <f t="shared" ref="J51" si="32">F51*H51</f>
        <v>0</v>
      </c>
      <c r="K51" s="354"/>
    </row>
    <row r="52" spans="1:12" ht="42.75" outlineLevel="1">
      <c r="A52" s="355">
        <v>93593</v>
      </c>
      <c r="B52" s="351" t="s">
        <v>26</v>
      </c>
      <c r="C52" s="348" t="s">
        <v>121</v>
      </c>
      <c r="D52" s="985" t="s">
        <v>122</v>
      </c>
      <c r="E52" s="353" t="s">
        <v>120</v>
      </c>
      <c r="F52" s="838">
        <f>'MEMORIAL DE CALCULO'!H166</f>
        <v>128647.95062</v>
      </c>
      <c r="G52" s="1174"/>
      <c r="H52" s="780">
        <f t="shared" ref="H52" si="33">G52*$I$5</f>
        <v>0</v>
      </c>
      <c r="I52" s="293">
        <f t="shared" ref="I52" si="34">F52*G52</f>
        <v>0</v>
      </c>
      <c r="J52" s="293">
        <f t="shared" ref="J52" si="35">F52*H52</f>
        <v>0</v>
      </c>
      <c r="K52" s="354"/>
    </row>
    <row r="53" spans="1:12" ht="28.5" outlineLevel="1">
      <c r="A53" s="355">
        <v>8344</v>
      </c>
      <c r="B53" s="351" t="s">
        <v>67</v>
      </c>
      <c r="C53" s="348" t="s">
        <v>123</v>
      </c>
      <c r="D53" s="985" t="s">
        <v>124</v>
      </c>
      <c r="E53" s="353" t="s">
        <v>61</v>
      </c>
      <c r="F53" s="838">
        <f>'MEMORIAL DE CALCULO'!N168</f>
        <v>19.600899999999999</v>
      </c>
      <c r="G53" s="1174"/>
      <c r="H53" s="780">
        <f t="shared" ref="H53" si="36">G53*$I$5</f>
        <v>0</v>
      </c>
      <c r="I53" s="293">
        <f t="shared" ref="I53" si="37">F53*G53</f>
        <v>0</v>
      </c>
      <c r="J53" s="293">
        <f t="shared" ref="J53" si="38">F53*H53</f>
        <v>0</v>
      </c>
      <c r="K53" s="354"/>
    </row>
    <row r="54" spans="1:12" ht="28.5" outlineLevel="1">
      <c r="A54" s="252">
        <v>31</v>
      </c>
      <c r="B54" s="252" t="s">
        <v>67</v>
      </c>
      <c r="C54" s="348" t="s">
        <v>125</v>
      </c>
      <c r="D54" s="985" t="s">
        <v>126</v>
      </c>
      <c r="E54" s="353" t="s">
        <v>61</v>
      </c>
      <c r="F54" s="838">
        <f>'MEMORIAL DE CALCULO'!N171</f>
        <v>86.433899999999994</v>
      </c>
      <c r="G54" s="1174"/>
      <c r="H54" s="780">
        <f t="shared" ref="H54:H55" si="39">G54*$I$5</f>
        <v>0</v>
      </c>
      <c r="I54" s="293">
        <f t="shared" ref="I54:I55" si="40">F54*G54</f>
        <v>0</v>
      </c>
      <c r="J54" s="293">
        <f t="shared" ref="J54:J55" si="41">F54*H54</f>
        <v>0</v>
      </c>
      <c r="K54" s="319"/>
    </row>
    <row r="55" spans="1:12" ht="28.5" outlineLevel="1">
      <c r="A55" s="252">
        <v>12346</v>
      </c>
      <c r="B55" s="252" t="s">
        <v>67</v>
      </c>
      <c r="C55" s="348" t="s">
        <v>127</v>
      </c>
      <c r="D55" s="985" t="s">
        <v>128</v>
      </c>
      <c r="E55" s="353" t="s">
        <v>61</v>
      </c>
      <c r="F55" s="838">
        <f>'MEMORIAL DE CALCULO'!N175</f>
        <v>47.519999999999996</v>
      </c>
      <c r="G55" s="1174"/>
      <c r="H55" s="780">
        <f t="shared" si="39"/>
        <v>0</v>
      </c>
      <c r="I55" s="293">
        <f t="shared" si="40"/>
        <v>0</v>
      </c>
      <c r="J55" s="293">
        <f t="shared" si="41"/>
        <v>0</v>
      </c>
      <c r="K55" s="319"/>
    </row>
    <row r="56" spans="1:12" ht="28.5" outlineLevel="1">
      <c r="A56" s="252">
        <v>4942</v>
      </c>
      <c r="B56" s="252" t="s">
        <v>67</v>
      </c>
      <c r="C56" s="348" t="s">
        <v>129</v>
      </c>
      <c r="D56" s="985" t="s">
        <v>130</v>
      </c>
      <c r="E56" s="353" t="s">
        <v>61</v>
      </c>
      <c r="F56" s="838">
        <f>'MEMORIAL DE CALCULO'!N178</f>
        <v>111.31199999999998</v>
      </c>
      <c r="G56" s="1174"/>
      <c r="H56" s="780">
        <f t="shared" ref="H56" si="42">G56*$I$5</f>
        <v>0</v>
      </c>
      <c r="I56" s="293">
        <f t="shared" ref="I56" si="43">F56*G56</f>
        <v>0</v>
      </c>
      <c r="J56" s="293">
        <f t="shared" ref="J56" si="44">F56*H56</f>
        <v>0</v>
      </c>
      <c r="K56" s="319"/>
    </row>
    <row r="57" spans="1:12" ht="22.15" customHeight="1">
      <c r="A57" s="346"/>
      <c r="B57" s="346"/>
      <c r="C57" s="347" t="s">
        <v>131</v>
      </c>
      <c r="D57" s="321" t="s">
        <v>132</v>
      </c>
      <c r="E57" s="322"/>
      <c r="F57" s="323"/>
      <c r="G57" s="324"/>
      <c r="H57" s="324"/>
      <c r="I57" s="245">
        <f>I58+I60</f>
        <v>0</v>
      </c>
      <c r="J57" s="245">
        <f>J58+J60</f>
        <v>0</v>
      </c>
      <c r="K57" s="325" t="e">
        <f>J57/$J$685</f>
        <v>#DIV/0!</v>
      </c>
    </row>
    <row r="58" spans="1:12" s="1" customFormat="1" ht="20.45" customHeight="1" outlineLevel="1">
      <c r="A58" s="251"/>
      <c r="B58" s="249"/>
      <c r="C58" s="249" t="s">
        <v>133</v>
      </c>
      <c r="D58" s="785" t="s">
        <v>134</v>
      </c>
      <c r="E58" s="983"/>
      <c r="F58" s="786"/>
      <c r="G58" s="837"/>
      <c r="H58" s="36"/>
      <c r="I58" s="250">
        <f>SUM(I59:I59)</f>
        <v>0</v>
      </c>
      <c r="J58" s="250">
        <f>SUM(J59:J59)</f>
        <v>0</v>
      </c>
      <c r="K58" s="32" t="e">
        <f>J58/$J$685</f>
        <v>#DIV/0!</v>
      </c>
    </row>
    <row r="59" spans="1:12" ht="32.25" customHeight="1" outlineLevel="2">
      <c r="A59" s="252">
        <v>2497</v>
      </c>
      <c r="B59" s="247" t="s">
        <v>67</v>
      </c>
      <c r="C59" s="247" t="s">
        <v>135</v>
      </c>
      <c r="D59" s="769" t="s">
        <v>136</v>
      </c>
      <c r="E59" s="33" t="s">
        <v>109</v>
      </c>
      <c r="F59" s="753">
        <f>'MEMORIAL DE CALCULO'!O185</f>
        <v>539.03055000000006</v>
      </c>
      <c r="G59" s="1170"/>
      <c r="H59" s="35">
        <f>G59*$I$5</f>
        <v>0</v>
      </c>
      <c r="I59" s="874">
        <f>F59*G59</f>
        <v>0</v>
      </c>
      <c r="J59" s="874">
        <f>F59*H59</f>
        <v>0</v>
      </c>
      <c r="K59" s="266"/>
    </row>
    <row r="60" spans="1:12" s="1" customFormat="1" ht="20.45" customHeight="1" outlineLevel="1">
      <c r="A60" s="251"/>
      <c r="B60" s="249"/>
      <c r="C60" s="249" t="s">
        <v>137</v>
      </c>
      <c r="D60" s="785" t="s">
        <v>138</v>
      </c>
      <c r="E60" s="983"/>
      <c r="F60" s="786"/>
      <c r="G60" s="1181"/>
      <c r="H60" s="36"/>
      <c r="I60" s="250">
        <f>SUM(I61:I65)</f>
        <v>0</v>
      </c>
      <c r="J60" s="250">
        <f>SUM(J61:J65)</f>
        <v>0</v>
      </c>
      <c r="K60" s="32" t="e">
        <f>J60/$J$685</f>
        <v>#DIV/0!</v>
      </c>
    </row>
    <row r="61" spans="1:12" s="1" customFormat="1" ht="20.45" customHeight="1" outlineLevel="1">
      <c r="A61" s="252">
        <v>96995</v>
      </c>
      <c r="B61" s="247" t="s">
        <v>26</v>
      </c>
      <c r="C61" s="247" t="s">
        <v>139</v>
      </c>
      <c r="D61" s="774" t="s">
        <v>140</v>
      </c>
      <c r="E61" s="567" t="s">
        <v>109</v>
      </c>
      <c r="F61" s="360">
        <f>'MEMORIAL DE CALCULO'!O214</f>
        <v>55.245517499999998</v>
      </c>
      <c r="G61" s="1178"/>
      <c r="H61" s="318">
        <f>G61*$I$5</f>
        <v>0</v>
      </c>
      <c r="I61" s="874">
        <f>F61*G61</f>
        <v>0</v>
      </c>
      <c r="J61" s="874">
        <f>F61*H61</f>
        <v>0</v>
      </c>
      <c r="K61" s="32"/>
    </row>
    <row r="62" spans="1:12" s="1" customFormat="1" ht="42" customHeight="1" outlineLevel="1">
      <c r="A62" s="252">
        <v>2506</v>
      </c>
      <c r="B62" s="247" t="s">
        <v>67</v>
      </c>
      <c r="C62" s="247" t="s">
        <v>141</v>
      </c>
      <c r="D62" s="866" t="s">
        <v>142</v>
      </c>
      <c r="E62" s="567" t="s">
        <v>109</v>
      </c>
      <c r="F62" s="782">
        <f>'MEMORIAL DE CALCULO'!O241</f>
        <v>812.59</v>
      </c>
      <c r="G62" s="1179"/>
      <c r="H62" s="318">
        <f>G62*$I$5</f>
        <v>0</v>
      </c>
      <c r="I62" s="874">
        <f>F62*G62</f>
        <v>0</v>
      </c>
      <c r="J62" s="874">
        <f>F62*H62</f>
        <v>0</v>
      </c>
      <c r="K62" s="562"/>
      <c r="L62" s="536" t="s">
        <v>143</v>
      </c>
    </row>
    <row r="63" spans="1:12" ht="28.5" outlineLevel="2">
      <c r="A63" s="246">
        <v>77</v>
      </c>
      <c r="B63" s="247" t="s">
        <v>67</v>
      </c>
      <c r="C63" s="247" t="s">
        <v>144</v>
      </c>
      <c r="D63" s="784" t="s">
        <v>145</v>
      </c>
      <c r="E63" s="567" t="s">
        <v>109</v>
      </c>
      <c r="F63" s="739">
        <f>'MEMORIAL DE CALCULO'!O243</f>
        <v>1170.5374999999999</v>
      </c>
      <c r="G63" s="1171"/>
      <c r="H63" s="318">
        <f>G63*$I$5</f>
        <v>0</v>
      </c>
      <c r="I63" s="874">
        <f>F63*G63</f>
        <v>0</v>
      </c>
      <c r="J63" s="874">
        <f>F63*H63</f>
        <v>0</v>
      </c>
      <c r="K63" s="562"/>
      <c r="L63" s="2" t="str">
        <f>UPPER(L62)</f>
        <v xml:space="preserve">
ESCAVAÇÃO COM RETRO-ESCAVADEIRA DE PNEUS, DE VALAS, EM MATERIAL DE 2ª CATEGORIA ATÉ 1,50M DE PROFUNDIDADE</v>
      </c>
    </row>
    <row r="64" spans="1:12" ht="28.5" outlineLevel="2">
      <c r="A64" s="252">
        <v>11447</v>
      </c>
      <c r="B64" s="247" t="s">
        <v>67</v>
      </c>
      <c r="C64" s="247" t="s">
        <v>146</v>
      </c>
      <c r="D64" s="774" t="s">
        <v>147</v>
      </c>
      <c r="E64" s="567" t="s">
        <v>109</v>
      </c>
      <c r="F64" s="360">
        <f>'MEMORIAL DE CALCULO'!O253</f>
        <v>1170.5374999999999</v>
      </c>
      <c r="G64" s="1178"/>
      <c r="H64" s="318">
        <f t="shared" ref="H64:H65" si="45">G64*$I$5</f>
        <v>0</v>
      </c>
      <c r="I64" s="874">
        <f t="shared" ref="I64:I65" si="46">F64*G64</f>
        <v>0</v>
      </c>
      <c r="J64" s="874">
        <f t="shared" ref="J64:J65" si="47">F64*H64</f>
        <v>0</v>
      </c>
      <c r="K64" s="32"/>
      <c r="L64" s="864"/>
    </row>
    <row r="65" spans="1:11" ht="42.75" outlineLevel="2">
      <c r="A65" s="252">
        <v>95426</v>
      </c>
      <c r="B65" s="247" t="s">
        <v>26</v>
      </c>
      <c r="C65" s="247" t="s">
        <v>148</v>
      </c>
      <c r="D65" s="774" t="s">
        <v>149</v>
      </c>
      <c r="E65" s="567" t="s">
        <v>120</v>
      </c>
      <c r="F65" s="360">
        <f>'MEMORIAL DE CALCULO'!O263</f>
        <v>59493.824999999997</v>
      </c>
      <c r="G65" s="1178"/>
      <c r="H65" s="318">
        <f t="shared" si="45"/>
        <v>0</v>
      </c>
      <c r="I65" s="874">
        <f t="shared" si="46"/>
        <v>0</v>
      </c>
      <c r="J65" s="874">
        <f t="shared" si="47"/>
        <v>0</v>
      </c>
      <c r="K65" s="32"/>
    </row>
    <row r="66" spans="1:11" ht="22.15" customHeight="1">
      <c r="A66" s="346"/>
      <c r="B66" s="346"/>
      <c r="C66" s="347" t="s">
        <v>150</v>
      </c>
      <c r="D66" s="23" t="s">
        <v>151</v>
      </c>
      <c r="E66" s="22"/>
      <c r="F66" s="24"/>
      <c r="G66" s="39"/>
      <c r="H66" s="39"/>
      <c r="I66" s="245">
        <f>I67+I69</f>
        <v>0</v>
      </c>
      <c r="J66" s="245">
        <f>J67+J69</f>
        <v>0</v>
      </c>
      <c r="K66" s="26" t="e">
        <f>J66/$J$685</f>
        <v>#DIV/0!</v>
      </c>
    </row>
    <row r="67" spans="1:11" s="1" customFormat="1" ht="17.45" customHeight="1" outlineLevel="1">
      <c r="A67" s="246"/>
      <c r="B67" s="247"/>
      <c r="C67" s="249" t="s">
        <v>152</v>
      </c>
      <c r="D67" s="785" t="s">
        <v>153</v>
      </c>
      <c r="E67" s="983"/>
      <c r="F67" s="831"/>
      <c r="G67" s="787"/>
      <c r="H67" s="31"/>
      <c r="I67" s="250">
        <f>SUM(I68:I68)</f>
        <v>0</v>
      </c>
      <c r="J67" s="250">
        <f>SUM(J68:J68)</f>
        <v>0</v>
      </c>
      <c r="K67" s="32" t="e">
        <f>J67/$J$685</f>
        <v>#DIV/0!</v>
      </c>
    </row>
    <row r="68" spans="1:11" ht="42" customHeight="1" outlineLevel="2">
      <c r="A68" s="246">
        <v>4177</v>
      </c>
      <c r="B68" s="247" t="s">
        <v>67</v>
      </c>
      <c r="C68" s="247" t="s">
        <v>154</v>
      </c>
      <c r="D68" s="784" t="s">
        <v>155</v>
      </c>
      <c r="E68" s="567" t="s">
        <v>61</v>
      </c>
      <c r="F68" s="739">
        <f>'MEMORIAL DE CALCULO'!N269</f>
        <v>2932.4</v>
      </c>
      <c r="G68" s="1171"/>
      <c r="H68" s="563">
        <f>G68*$I$5</f>
        <v>0</v>
      </c>
      <c r="I68" s="874">
        <f>F68*G68</f>
        <v>0</v>
      </c>
      <c r="J68" s="874">
        <f>F68*H68</f>
        <v>0</v>
      </c>
      <c r="K68" s="562"/>
    </row>
    <row r="69" spans="1:11" s="1" customFormat="1" ht="25.15" customHeight="1" outlineLevel="1">
      <c r="A69" s="246"/>
      <c r="B69" s="247"/>
      <c r="C69" s="249" t="s">
        <v>156</v>
      </c>
      <c r="D69" s="785" t="s">
        <v>157</v>
      </c>
      <c r="E69" s="983"/>
      <c r="F69" s="831"/>
      <c r="G69" s="787"/>
      <c r="H69" s="31"/>
      <c r="I69" s="250">
        <f>SUM(I70:I80)</f>
        <v>0</v>
      </c>
      <c r="J69" s="250">
        <f>SUM(J70:J80)</f>
        <v>0</v>
      </c>
      <c r="K69" s="32" t="e">
        <f>J69/$J$685</f>
        <v>#DIV/0!</v>
      </c>
    </row>
    <row r="70" spans="1:11" ht="42.75" outlineLevel="2">
      <c r="A70" s="246">
        <v>101166</v>
      </c>
      <c r="B70" s="247" t="s">
        <v>26</v>
      </c>
      <c r="C70" s="247" t="s">
        <v>158</v>
      </c>
      <c r="D70" s="784" t="s">
        <v>159</v>
      </c>
      <c r="E70" s="567" t="s">
        <v>109</v>
      </c>
      <c r="F70" s="782">
        <f>'MEMORIAL DE CALCULO'!O273</f>
        <v>96.596000000000004</v>
      </c>
      <c r="G70" s="1171"/>
      <c r="H70" s="563">
        <f t="shared" ref="H70:H79" si="48">G70*$I$5</f>
        <v>0</v>
      </c>
      <c r="I70" s="874">
        <f t="shared" ref="I70:I79" si="49">F70*G70</f>
        <v>0</v>
      </c>
      <c r="J70" s="874">
        <f t="shared" ref="J70:J79" si="50">F70*H70</f>
        <v>0</v>
      </c>
      <c r="K70" s="562"/>
    </row>
    <row r="71" spans="1:11" ht="42.75" outlineLevel="2">
      <c r="A71" s="246">
        <v>94962</v>
      </c>
      <c r="B71" s="247" t="s">
        <v>26</v>
      </c>
      <c r="C71" s="247" t="s">
        <v>160</v>
      </c>
      <c r="D71" s="774" t="s">
        <v>161</v>
      </c>
      <c r="E71" s="353" t="s">
        <v>109</v>
      </c>
      <c r="F71" s="362">
        <f>'MEMORIAL DE CALCULO'!O275</f>
        <v>13.714850000000002</v>
      </c>
      <c r="G71" s="1171"/>
      <c r="H71" s="350">
        <f t="shared" si="48"/>
        <v>0</v>
      </c>
      <c r="I71" s="874">
        <f t="shared" si="49"/>
        <v>0</v>
      </c>
      <c r="J71" s="874">
        <f t="shared" si="50"/>
        <v>0</v>
      </c>
      <c r="K71" s="32"/>
    </row>
    <row r="72" spans="1:11" ht="29.25" outlineLevel="2">
      <c r="A72" s="246">
        <v>11483</v>
      </c>
      <c r="B72" s="247" t="s">
        <v>67</v>
      </c>
      <c r="C72" s="247" t="s">
        <v>162</v>
      </c>
      <c r="D72" s="779" t="s">
        <v>163</v>
      </c>
      <c r="E72" s="353" t="s">
        <v>109</v>
      </c>
      <c r="F72" s="362">
        <f>'MEMORIAL DE CALCULO'!O276</f>
        <v>9.6596000000000011</v>
      </c>
      <c r="G72" s="1171"/>
      <c r="H72" s="350">
        <f t="shared" si="48"/>
        <v>0</v>
      </c>
      <c r="I72" s="874">
        <f t="shared" si="49"/>
        <v>0</v>
      </c>
      <c r="J72" s="874">
        <f t="shared" si="50"/>
        <v>0</v>
      </c>
      <c r="K72" s="32"/>
    </row>
    <row r="73" spans="1:11" ht="29.25" outlineLevel="2">
      <c r="A73" s="246">
        <v>11483</v>
      </c>
      <c r="B73" s="247" t="s">
        <v>67</v>
      </c>
      <c r="C73" s="247" t="s">
        <v>164</v>
      </c>
      <c r="D73" s="836" t="s">
        <v>165</v>
      </c>
      <c r="E73" s="353" t="s">
        <v>109</v>
      </c>
      <c r="F73" s="362">
        <f>'MEMORIAL DE CALCULO'!O301</f>
        <v>30.632104000000002</v>
      </c>
      <c r="G73" s="1171"/>
      <c r="H73" s="350">
        <f t="shared" si="48"/>
        <v>0</v>
      </c>
      <c r="I73" s="874">
        <f t="shared" si="49"/>
        <v>0</v>
      </c>
      <c r="J73" s="874">
        <f t="shared" si="50"/>
        <v>0</v>
      </c>
      <c r="K73" s="32"/>
    </row>
    <row r="74" spans="1:11" ht="42.75" outlineLevel="2">
      <c r="A74" s="246">
        <v>11640</v>
      </c>
      <c r="B74" s="247" t="s">
        <v>67</v>
      </c>
      <c r="C74" s="247" t="s">
        <v>166</v>
      </c>
      <c r="D74" s="774" t="s">
        <v>167</v>
      </c>
      <c r="E74" s="353" t="s">
        <v>61</v>
      </c>
      <c r="F74" s="362">
        <f>'MEMORIAL DE CALCULO'!N327</f>
        <v>893.94859999999971</v>
      </c>
      <c r="G74" s="1171"/>
      <c r="H74" s="350">
        <f t="shared" si="48"/>
        <v>0</v>
      </c>
      <c r="I74" s="874">
        <f t="shared" si="49"/>
        <v>0</v>
      </c>
      <c r="J74" s="874">
        <f t="shared" si="50"/>
        <v>0</v>
      </c>
      <c r="K74" s="32"/>
    </row>
    <row r="75" spans="1:11" ht="28.5" outlineLevel="2">
      <c r="A75" s="246">
        <v>96543</v>
      </c>
      <c r="B75" s="247" t="s">
        <v>26</v>
      </c>
      <c r="C75" s="247" t="s">
        <v>168</v>
      </c>
      <c r="D75" s="774" t="s">
        <v>169</v>
      </c>
      <c r="E75" s="353" t="s">
        <v>170</v>
      </c>
      <c r="F75" s="362">
        <f>'MEMORIAL DE CALCULO'!H356</f>
        <v>439</v>
      </c>
      <c r="G75" s="1171"/>
      <c r="H75" s="350">
        <f t="shared" si="48"/>
        <v>0</v>
      </c>
      <c r="I75" s="874">
        <f t="shared" si="49"/>
        <v>0</v>
      </c>
      <c r="J75" s="874">
        <f t="shared" si="50"/>
        <v>0</v>
      </c>
      <c r="K75" s="32"/>
    </row>
    <row r="76" spans="1:11" ht="28.5" outlineLevel="2">
      <c r="A76" s="246">
        <v>96544</v>
      </c>
      <c r="B76" s="247" t="s">
        <v>26</v>
      </c>
      <c r="C76" s="247" t="s">
        <v>171</v>
      </c>
      <c r="D76" s="774" t="s">
        <v>172</v>
      </c>
      <c r="E76" s="353" t="s">
        <v>170</v>
      </c>
      <c r="F76" s="362">
        <f>'MEMORIAL DE CALCULO'!H360</f>
        <v>598</v>
      </c>
      <c r="G76" s="1171"/>
      <c r="H76" s="350">
        <f t="shared" si="48"/>
        <v>0</v>
      </c>
      <c r="I76" s="874">
        <f t="shared" si="49"/>
        <v>0</v>
      </c>
      <c r="J76" s="874">
        <f t="shared" si="50"/>
        <v>0</v>
      </c>
      <c r="K76" s="32"/>
    </row>
    <row r="77" spans="1:11" ht="28.5" outlineLevel="2">
      <c r="A77" s="246">
        <v>96545</v>
      </c>
      <c r="B77" s="247" t="s">
        <v>26</v>
      </c>
      <c r="C77" s="247" t="s">
        <v>173</v>
      </c>
      <c r="D77" s="774" t="s">
        <v>174</v>
      </c>
      <c r="E77" s="353" t="s">
        <v>170</v>
      </c>
      <c r="F77" s="362">
        <f>'MEMORIAL DE CALCULO'!H364</f>
        <v>104</v>
      </c>
      <c r="G77" s="1171"/>
      <c r="H77" s="350">
        <f t="shared" ref="H77:H78" si="51">G77*$I$5</f>
        <v>0</v>
      </c>
      <c r="I77" s="874">
        <f t="shared" ref="I77:I78" si="52">F77*G77</f>
        <v>0</v>
      </c>
      <c r="J77" s="874">
        <f t="shared" ref="J77:J78" si="53">F77*H77</f>
        <v>0</v>
      </c>
      <c r="K77" s="32"/>
    </row>
    <row r="78" spans="1:11" ht="28.5" outlineLevel="2">
      <c r="A78" s="246">
        <v>96546</v>
      </c>
      <c r="B78" s="247" t="s">
        <v>26</v>
      </c>
      <c r="C78" s="247" t="s">
        <v>175</v>
      </c>
      <c r="D78" s="774" t="s">
        <v>176</v>
      </c>
      <c r="E78" s="353" t="s">
        <v>170</v>
      </c>
      <c r="F78" s="362">
        <f>'MEMORIAL DE CALCULO'!H367</f>
        <v>508</v>
      </c>
      <c r="G78" s="1171"/>
      <c r="H78" s="350">
        <f t="shared" si="51"/>
        <v>0</v>
      </c>
      <c r="I78" s="874">
        <f t="shared" si="52"/>
        <v>0</v>
      </c>
      <c r="J78" s="874">
        <f t="shared" si="53"/>
        <v>0</v>
      </c>
      <c r="K78" s="32"/>
    </row>
    <row r="79" spans="1:11" ht="28.5" outlineLevel="2">
      <c r="A79" s="246">
        <v>96547</v>
      </c>
      <c r="B79" s="247" t="s">
        <v>26</v>
      </c>
      <c r="C79" s="247" t="s">
        <v>177</v>
      </c>
      <c r="D79" s="774" t="s">
        <v>178</v>
      </c>
      <c r="E79" s="353" t="s">
        <v>170</v>
      </c>
      <c r="F79" s="362">
        <f>'MEMORIAL DE CALCULO'!H370</f>
        <v>392</v>
      </c>
      <c r="G79" s="1171"/>
      <c r="H79" s="350">
        <f t="shared" si="48"/>
        <v>0</v>
      </c>
      <c r="I79" s="874">
        <f t="shared" si="49"/>
        <v>0</v>
      </c>
      <c r="J79" s="874">
        <f t="shared" si="50"/>
        <v>0</v>
      </c>
      <c r="K79" s="32"/>
    </row>
    <row r="80" spans="1:11" ht="28.5" outlineLevel="2">
      <c r="A80" s="246">
        <v>96548</v>
      </c>
      <c r="B80" s="247" t="s">
        <v>26</v>
      </c>
      <c r="C80" s="247" t="s">
        <v>179</v>
      </c>
      <c r="D80" s="783" t="s">
        <v>180</v>
      </c>
      <c r="E80" s="353" t="s">
        <v>170</v>
      </c>
      <c r="F80" s="760">
        <f>'MEMORIAL DE CALCULO'!H373</f>
        <v>220</v>
      </c>
      <c r="G80" s="1171"/>
      <c r="H80" s="350">
        <f t="shared" ref="H80" si="54">G80*$I$5</f>
        <v>0</v>
      </c>
      <c r="I80" s="874">
        <f t="shared" ref="I80" si="55">F80*G80</f>
        <v>0</v>
      </c>
      <c r="J80" s="874">
        <f t="shared" ref="J80" si="56">F80*H80</f>
        <v>0</v>
      </c>
      <c r="K80" s="32"/>
    </row>
    <row r="81" spans="1:11" ht="22.15" customHeight="1">
      <c r="A81" s="346"/>
      <c r="B81" s="346"/>
      <c r="C81" s="347" t="s">
        <v>181</v>
      </c>
      <c r="D81" s="23" t="s">
        <v>182</v>
      </c>
      <c r="E81" s="22"/>
      <c r="F81" s="24"/>
      <c r="G81" s="39"/>
      <c r="H81" s="39"/>
      <c r="I81" s="245">
        <f>I82+I84+I87+I100</f>
        <v>0</v>
      </c>
      <c r="J81" s="245">
        <f>J82+J84+J87+J100</f>
        <v>0</v>
      </c>
      <c r="K81" s="26" t="e">
        <f>J81/$J$685</f>
        <v>#DIV/0!</v>
      </c>
    </row>
    <row r="82" spans="1:11" s="1" customFormat="1" ht="17.45" customHeight="1" outlineLevel="1">
      <c r="A82" s="246"/>
      <c r="B82" s="247"/>
      <c r="C82" s="249" t="s">
        <v>183</v>
      </c>
      <c r="D82" s="785" t="s">
        <v>184</v>
      </c>
      <c r="E82" s="983"/>
      <c r="F82" s="831"/>
      <c r="G82" s="787"/>
      <c r="H82" s="31"/>
      <c r="I82" s="250">
        <f>I83</f>
        <v>0</v>
      </c>
      <c r="J82" s="250">
        <f>J83</f>
        <v>0</v>
      </c>
      <c r="K82" s="32" t="e">
        <f>J82/$J$685</f>
        <v>#DIV/0!</v>
      </c>
    </row>
    <row r="83" spans="1:11" ht="28.5" outlineLevel="2">
      <c r="A83" s="246">
        <v>105</v>
      </c>
      <c r="B83" s="247" t="s">
        <v>67</v>
      </c>
      <c r="C83" s="247" t="s">
        <v>185</v>
      </c>
      <c r="D83" s="832" t="s">
        <v>186</v>
      </c>
      <c r="E83" s="33" t="s">
        <v>109</v>
      </c>
      <c r="F83" s="753">
        <f>'MEMORIAL DE CALCULO'!O378</f>
        <v>126.62337250000006</v>
      </c>
      <c r="G83" s="1171"/>
      <c r="H83" s="35">
        <f>G83*$I$5</f>
        <v>0</v>
      </c>
      <c r="I83" s="874">
        <f>F83*G83</f>
        <v>0</v>
      </c>
      <c r="J83" s="874">
        <f>F83*H83</f>
        <v>0</v>
      </c>
      <c r="K83" s="266"/>
    </row>
    <row r="84" spans="1:11" s="1" customFormat="1" ht="17.45" customHeight="1" outlineLevel="1">
      <c r="A84" s="246"/>
      <c r="B84" s="247"/>
      <c r="C84" s="249" t="s">
        <v>187</v>
      </c>
      <c r="D84" s="785" t="s">
        <v>188</v>
      </c>
      <c r="E84" s="898"/>
      <c r="F84" s="899"/>
      <c r="G84" s="900"/>
      <c r="H84" s="901"/>
      <c r="I84" s="250">
        <f>SUM(I85:I86)</f>
        <v>0</v>
      </c>
      <c r="J84" s="250">
        <f>SUM(J85:J86)</f>
        <v>0</v>
      </c>
      <c r="K84" s="32" t="e">
        <f>J84/$J$685</f>
        <v>#DIV/0!</v>
      </c>
    </row>
    <row r="85" spans="1:11" ht="42.75" outlineLevel="2">
      <c r="A85" s="246">
        <v>11640</v>
      </c>
      <c r="B85" s="247" t="s">
        <v>67</v>
      </c>
      <c r="C85" s="295" t="s">
        <v>189</v>
      </c>
      <c r="D85" s="833" t="s">
        <v>167</v>
      </c>
      <c r="E85" s="296" t="s">
        <v>61</v>
      </c>
      <c r="F85" s="778">
        <f>'MEMORIAL DE CALCULO'!N513</f>
        <v>2439.0477499999993</v>
      </c>
      <c r="G85" s="1171"/>
      <c r="H85" s="293">
        <f>G85*$I$5</f>
        <v>0</v>
      </c>
      <c r="I85" s="293">
        <f>F85*G85</f>
        <v>0</v>
      </c>
      <c r="J85" s="293">
        <f>F85*H85</f>
        <v>0</v>
      </c>
      <c r="K85" s="293"/>
    </row>
    <row r="86" spans="1:11" ht="57" outlineLevel="2">
      <c r="A86" s="246">
        <v>103761</v>
      </c>
      <c r="B86" s="294" t="s">
        <v>26</v>
      </c>
      <c r="C86" s="292" t="s">
        <v>190</v>
      </c>
      <c r="D86" s="834" t="s">
        <v>191</v>
      </c>
      <c r="E86" s="296" t="s">
        <v>61</v>
      </c>
      <c r="F86" s="835">
        <f>'MEMORIAL DE CALCULO'!N713</f>
        <v>1220.8579</v>
      </c>
      <c r="G86" s="1171"/>
      <c r="H86" s="293">
        <f>G86*$I$5</f>
        <v>0</v>
      </c>
      <c r="I86" s="293">
        <f>F86*G86</f>
        <v>0</v>
      </c>
      <c r="J86" s="293">
        <f>F86*H86</f>
        <v>0</v>
      </c>
      <c r="K86" s="297"/>
    </row>
    <row r="87" spans="1:11" s="1" customFormat="1" ht="17.45" customHeight="1" outlineLevel="1">
      <c r="A87" s="648"/>
      <c r="B87" s="649"/>
      <c r="C87" s="902" t="s">
        <v>192</v>
      </c>
      <c r="D87" s="903" t="s">
        <v>193</v>
      </c>
      <c r="E87" s="898"/>
      <c r="F87" s="899"/>
      <c r="G87" s="900"/>
      <c r="H87" s="901"/>
      <c r="I87" s="250">
        <f>SUM(I88:I99)</f>
        <v>0</v>
      </c>
      <c r="J87" s="250">
        <f>SUM(J88:J99)</f>
        <v>0</v>
      </c>
      <c r="K87" s="32" t="e">
        <f>J87/$J$685</f>
        <v>#DIV/0!</v>
      </c>
    </row>
    <row r="88" spans="1:11" ht="42.75" outlineLevel="2">
      <c r="A88" s="296">
        <v>92759</v>
      </c>
      <c r="B88" s="292" t="s">
        <v>26</v>
      </c>
      <c r="C88" s="292" t="s">
        <v>194</v>
      </c>
      <c r="D88" s="777" t="s">
        <v>195</v>
      </c>
      <c r="E88" s="296" t="s">
        <v>170</v>
      </c>
      <c r="F88" s="835">
        <f>'MEMORIAL DE CALCULO'!H802</f>
        <v>968</v>
      </c>
      <c r="G88" s="1171"/>
      <c r="H88" s="293">
        <f t="shared" ref="H88:H95" si="57">G88*$I$5</f>
        <v>0</v>
      </c>
      <c r="I88" s="293">
        <f t="shared" ref="I88:I96" si="58">F88*G88</f>
        <v>0</v>
      </c>
      <c r="J88" s="293">
        <f t="shared" ref="J88:J96" si="59">F88*H88</f>
        <v>0</v>
      </c>
      <c r="K88" s="297"/>
    </row>
    <row r="89" spans="1:11" ht="42.75" outlineLevel="2">
      <c r="A89" s="296">
        <v>92760</v>
      </c>
      <c r="B89" s="292" t="s">
        <v>26</v>
      </c>
      <c r="C89" s="292" t="s">
        <v>196</v>
      </c>
      <c r="D89" s="777" t="s">
        <v>197</v>
      </c>
      <c r="E89" s="296" t="s">
        <v>170</v>
      </c>
      <c r="F89" s="835">
        <f>'MEMORIAL DE CALCULO'!H808</f>
        <v>695</v>
      </c>
      <c r="G89" s="1171"/>
      <c r="H89" s="293">
        <f t="shared" si="57"/>
        <v>0</v>
      </c>
      <c r="I89" s="293">
        <f t="shared" si="58"/>
        <v>0</v>
      </c>
      <c r="J89" s="293">
        <f t="shared" si="59"/>
        <v>0</v>
      </c>
      <c r="K89" s="297"/>
    </row>
    <row r="90" spans="1:11" ht="42.75" outlineLevel="2">
      <c r="A90" s="296">
        <v>92761</v>
      </c>
      <c r="B90" s="292" t="s">
        <v>26</v>
      </c>
      <c r="C90" s="292" t="s">
        <v>198</v>
      </c>
      <c r="D90" s="777" t="s">
        <v>199</v>
      </c>
      <c r="E90" s="296" t="s">
        <v>170</v>
      </c>
      <c r="F90" s="835">
        <f>'MEMORIAL DE CALCULO'!H815</f>
        <v>525</v>
      </c>
      <c r="G90" s="1171"/>
      <c r="H90" s="293">
        <f t="shared" ref="H90" si="60">G90*$I$5</f>
        <v>0</v>
      </c>
      <c r="I90" s="293">
        <f t="shared" ref="I90" si="61">F90*G90</f>
        <v>0</v>
      </c>
      <c r="J90" s="293">
        <f t="shared" ref="J90" si="62">F90*H90</f>
        <v>0</v>
      </c>
      <c r="K90" s="297"/>
    </row>
    <row r="91" spans="1:11" ht="42.75" outlineLevel="2">
      <c r="A91" s="296">
        <v>92762</v>
      </c>
      <c r="B91" s="292" t="s">
        <v>26</v>
      </c>
      <c r="C91" s="292" t="s">
        <v>200</v>
      </c>
      <c r="D91" s="777" t="s">
        <v>201</v>
      </c>
      <c r="E91" s="296" t="s">
        <v>170</v>
      </c>
      <c r="F91" s="835">
        <f>'MEMORIAL DE CALCULO'!H821</f>
        <v>2058</v>
      </c>
      <c r="G91" s="1171"/>
      <c r="H91" s="293">
        <f t="shared" si="57"/>
        <v>0</v>
      </c>
      <c r="I91" s="293">
        <f t="shared" si="58"/>
        <v>0</v>
      </c>
      <c r="J91" s="293">
        <f t="shared" si="59"/>
        <v>0</v>
      </c>
      <c r="K91" s="297"/>
    </row>
    <row r="92" spans="1:11" ht="42.75" outlineLevel="2">
      <c r="A92" s="296">
        <v>92763</v>
      </c>
      <c r="B92" s="292" t="s">
        <v>26</v>
      </c>
      <c r="C92" s="292" t="s">
        <v>202</v>
      </c>
      <c r="D92" s="777" t="s">
        <v>203</v>
      </c>
      <c r="E92" s="296" t="s">
        <v>170</v>
      </c>
      <c r="F92" s="835">
        <f>'MEMORIAL DE CALCULO'!H829</f>
        <v>1164</v>
      </c>
      <c r="G92" s="1171"/>
      <c r="H92" s="293">
        <f t="shared" si="57"/>
        <v>0</v>
      </c>
      <c r="I92" s="293">
        <f t="shared" si="58"/>
        <v>0</v>
      </c>
      <c r="J92" s="293">
        <f t="shared" si="59"/>
        <v>0</v>
      </c>
      <c r="K92" s="297"/>
    </row>
    <row r="93" spans="1:11" ht="42.75" outlineLevel="2">
      <c r="A93" s="296">
        <v>92764</v>
      </c>
      <c r="B93" s="292" t="s">
        <v>26</v>
      </c>
      <c r="C93" s="292" t="s">
        <v>204</v>
      </c>
      <c r="D93" s="777" t="s">
        <v>205</v>
      </c>
      <c r="E93" s="296" t="s">
        <v>170</v>
      </c>
      <c r="F93" s="835">
        <f>'MEMORIAL DE CALCULO'!H834</f>
        <v>1394</v>
      </c>
      <c r="G93" s="1171"/>
      <c r="H93" s="293">
        <f t="shared" si="57"/>
        <v>0</v>
      </c>
      <c r="I93" s="293">
        <f t="shared" si="58"/>
        <v>0</v>
      </c>
      <c r="J93" s="293">
        <f t="shared" si="59"/>
        <v>0</v>
      </c>
      <c r="K93" s="297"/>
    </row>
    <row r="94" spans="1:11" ht="57" outlineLevel="2">
      <c r="A94" s="569">
        <v>92765</v>
      </c>
      <c r="B94" s="570" t="s">
        <v>26</v>
      </c>
      <c r="C94" s="570" t="s">
        <v>206</v>
      </c>
      <c r="D94" s="784" t="s">
        <v>207</v>
      </c>
      <c r="E94" s="567" t="s">
        <v>170</v>
      </c>
      <c r="F94" s="739">
        <f>'MEMORIAL DE CALCULO'!H839</f>
        <v>71</v>
      </c>
      <c r="G94" s="1171"/>
      <c r="H94" s="563">
        <f t="shared" si="57"/>
        <v>0</v>
      </c>
      <c r="I94" s="573">
        <f t="shared" si="58"/>
        <v>0</v>
      </c>
      <c r="J94" s="573">
        <f t="shared" si="59"/>
        <v>0</v>
      </c>
      <c r="K94" s="562"/>
    </row>
    <row r="95" spans="1:11" ht="55.5" customHeight="1" outlineLevel="2">
      <c r="A95" s="246">
        <v>92766</v>
      </c>
      <c r="B95" s="247" t="s">
        <v>26</v>
      </c>
      <c r="C95" s="247" t="s">
        <v>208</v>
      </c>
      <c r="D95" s="774" t="s">
        <v>209</v>
      </c>
      <c r="E95" s="353" t="s">
        <v>170</v>
      </c>
      <c r="F95" s="362">
        <f>'MEMORIAL DE CALCULO'!H841</f>
        <v>35</v>
      </c>
      <c r="G95" s="1171"/>
      <c r="H95" s="563">
        <f t="shared" si="57"/>
        <v>0</v>
      </c>
      <c r="I95" s="874">
        <f t="shared" si="58"/>
        <v>0</v>
      </c>
      <c r="J95" s="874">
        <f t="shared" si="59"/>
        <v>0</v>
      </c>
      <c r="K95" s="32"/>
    </row>
    <row r="96" spans="1:11" ht="42.75" outlineLevel="2">
      <c r="A96" s="246">
        <v>92767</v>
      </c>
      <c r="B96" s="247" t="s">
        <v>26</v>
      </c>
      <c r="C96" s="706" t="s">
        <v>210</v>
      </c>
      <c r="D96" s="789" t="s">
        <v>211</v>
      </c>
      <c r="E96" s="775" t="s">
        <v>170</v>
      </c>
      <c r="F96" s="776">
        <f>'MEMORIAL DE CALCULO'!H844</f>
        <v>1239</v>
      </c>
      <c r="G96" s="1171"/>
      <c r="H96" s="350">
        <f>G96*$I$5</f>
        <v>0</v>
      </c>
      <c r="I96" s="874">
        <f t="shared" si="58"/>
        <v>0</v>
      </c>
      <c r="J96" s="874">
        <f t="shared" si="59"/>
        <v>0</v>
      </c>
      <c r="K96" s="32"/>
    </row>
    <row r="97" spans="1:12" ht="42.75" outlineLevel="2">
      <c r="A97" s="569">
        <v>92916</v>
      </c>
      <c r="B97" s="570" t="s">
        <v>26</v>
      </c>
      <c r="C97" s="706" t="s">
        <v>212</v>
      </c>
      <c r="D97" s="800" t="s">
        <v>213</v>
      </c>
      <c r="E97" s="775" t="s">
        <v>170</v>
      </c>
      <c r="F97" s="743">
        <f>'MEMORIAL DE CALCULO'!H848</f>
        <v>536.91275167785238</v>
      </c>
      <c r="G97" s="1171"/>
      <c r="H97" s="341">
        <f>G97*$I$5</f>
        <v>0</v>
      </c>
      <c r="I97" s="664">
        <f>F97*G97</f>
        <v>0</v>
      </c>
      <c r="J97" s="664">
        <f>F97*H97</f>
        <v>0</v>
      </c>
      <c r="K97" s="32"/>
    </row>
    <row r="98" spans="1:12" ht="42.75" outlineLevel="2">
      <c r="A98" s="569">
        <v>3637</v>
      </c>
      <c r="B98" s="570" t="s">
        <v>67</v>
      </c>
      <c r="C98" s="706" t="s">
        <v>214</v>
      </c>
      <c r="D98" s="800" t="s">
        <v>215</v>
      </c>
      <c r="E98" s="801" t="s">
        <v>61</v>
      </c>
      <c r="F98" s="743">
        <f>'MEMORIAL DE CALCULO'!H848</f>
        <v>536.91275167785238</v>
      </c>
      <c r="G98" s="1171"/>
      <c r="H98" s="341">
        <f>G98*$I$5</f>
        <v>0</v>
      </c>
      <c r="I98" s="664">
        <f>F98*G98</f>
        <v>0</v>
      </c>
      <c r="J98" s="664">
        <f>F98*H98</f>
        <v>0</v>
      </c>
      <c r="K98" s="32"/>
    </row>
    <row r="99" spans="1:12" outlineLevel="2">
      <c r="A99" s="569" t="str">
        <f>'COTAÇÃO CIVIL'!A23</f>
        <v>MERC02/04</v>
      </c>
      <c r="B99" s="570"/>
      <c r="C99" s="570" t="s">
        <v>216</v>
      </c>
      <c r="D99" s="784" t="s">
        <v>217</v>
      </c>
      <c r="E99" s="567" t="s">
        <v>218</v>
      </c>
      <c r="F99" s="739">
        <f>'MEMORIAL DE CALCULO'!H853</f>
        <v>1</v>
      </c>
      <c r="G99" s="1171"/>
      <c r="H99" s="563">
        <f>G99*$I$5</f>
        <v>0</v>
      </c>
      <c r="I99" s="573">
        <f t="shared" ref="I99" si="63">F99*G99</f>
        <v>0</v>
      </c>
      <c r="J99" s="573">
        <f t="shared" ref="J99" si="64">F99*H99</f>
        <v>0</v>
      </c>
      <c r="K99" s="32"/>
    </row>
    <row r="100" spans="1:12" s="1" customFormat="1" ht="17.45" customHeight="1" outlineLevel="1">
      <c r="A100" s="246"/>
      <c r="B100" s="247"/>
      <c r="C100" s="249" t="s">
        <v>219</v>
      </c>
      <c r="D100" s="785" t="s">
        <v>220</v>
      </c>
      <c r="E100" s="983"/>
      <c r="F100" s="831"/>
      <c r="G100" s="787"/>
      <c r="H100" s="31"/>
      <c r="I100" s="250">
        <f>SUM(I101:I104)</f>
        <v>0</v>
      </c>
      <c r="J100" s="250">
        <f>SUM(J101:J104)</f>
        <v>0</v>
      </c>
      <c r="K100" s="32" t="e">
        <f>J100/$J$685</f>
        <v>#DIV/0!</v>
      </c>
    </row>
    <row r="101" spans="1:12" ht="42.75" outlineLevel="2">
      <c r="A101" s="246">
        <v>7393</v>
      </c>
      <c r="B101" s="247" t="s">
        <v>67</v>
      </c>
      <c r="C101" s="246" t="s">
        <v>221</v>
      </c>
      <c r="D101" s="784" t="s">
        <v>222</v>
      </c>
      <c r="E101" s="567" t="s">
        <v>61</v>
      </c>
      <c r="F101" s="739">
        <f>'MEMORIAL DE CALCULO'!N855</f>
        <v>861.50809999999979</v>
      </c>
      <c r="G101" s="1171"/>
      <c r="H101" s="563">
        <f>G101*$I$5</f>
        <v>0</v>
      </c>
      <c r="I101" s="874">
        <f>F101*G101</f>
        <v>0</v>
      </c>
      <c r="J101" s="874">
        <f>F101*H101</f>
        <v>0</v>
      </c>
      <c r="K101" s="566"/>
      <c r="L101" s="536" t="s">
        <v>223</v>
      </c>
    </row>
    <row r="102" spans="1:12" ht="60.75" customHeight="1" outlineLevel="2">
      <c r="A102" s="253">
        <v>7194</v>
      </c>
      <c r="B102" s="247" t="s">
        <v>67</v>
      </c>
      <c r="C102" s="247" t="s">
        <v>224</v>
      </c>
      <c r="D102" s="783" t="s">
        <v>225</v>
      </c>
      <c r="E102" s="355" t="s">
        <v>226</v>
      </c>
      <c r="F102" s="760">
        <f>'MEMORIAL DE CALCULO'!H923</f>
        <v>40</v>
      </c>
      <c r="G102" s="1171"/>
      <c r="H102" s="318">
        <f>G102*$I$5</f>
        <v>0</v>
      </c>
      <c r="I102" s="874">
        <f>F102*G102</f>
        <v>0</v>
      </c>
      <c r="J102" s="874">
        <f>F102*H102</f>
        <v>0</v>
      </c>
      <c r="K102" s="320"/>
      <c r="L102" s="2" t="str">
        <f>UPPER(L101)</f>
        <v xml:space="preserve">
CONTROLE TECNOLÓGICO DE CONCRETO "COM" MOLDAGEM DE CORPOS DE PROVA, DISTANCIA 61 A 100 KM</v>
      </c>
    </row>
    <row r="103" spans="1:12" ht="42.75" customHeight="1" outlineLevel="2">
      <c r="A103" s="253">
        <v>10337</v>
      </c>
      <c r="B103" s="247" t="s">
        <v>67</v>
      </c>
      <c r="C103" s="648" t="s">
        <v>227</v>
      </c>
      <c r="D103" s="783" t="s">
        <v>228</v>
      </c>
      <c r="E103" s="355" t="s">
        <v>109</v>
      </c>
      <c r="F103" s="760">
        <f>'MEMORIAL DE CALCULO'!O925</f>
        <v>1.9032</v>
      </c>
      <c r="G103" s="1171"/>
      <c r="H103" s="318">
        <f>G103*$I$5</f>
        <v>0</v>
      </c>
      <c r="I103" s="874">
        <f>F103*G103</f>
        <v>0</v>
      </c>
      <c r="J103" s="874">
        <f>F103*H103</f>
        <v>0</v>
      </c>
      <c r="K103" s="320"/>
    </row>
    <row r="104" spans="1:12" ht="42.75" outlineLevel="2">
      <c r="A104" s="253">
        <v>12688</v>
      </c>
      <c r="B104" s="247" t="s">
        <v>67</v>
      </c>
      <c r="C104" s="649" t="s">
        <v>229</v>
      </c>
      <c r="D104" s="821" t="s">
        <v>230</v>
      </c>
      <c r="E104" s="797" t="s">
        <v>61</v>
      </c>
      <c r="F104" s="822">
        <f>'MEMORIAL DE CALCULO'!N928</f>
        <v>73.171999999999997</v>
      </c>
      <c r="G104" s="1171"/>
      <c r="H104" s="326">
        <f>G104*$I$5</f>
        <v>0</v>
      </c>
      <c r="I104" s="874">
        <f>F104*G104</f>
        <v>0</v>
      </c>
      <c r="J104" s="874">
        <f>F104*H104</f>
        <v>0</v>
      </c>
      <c r="K104" s="320"/>
    </row>
    <row r="105" spans="1:12" ht="22.15" customHeight="1">
      <c r="A105" s="346"/>
      <c r="B105" s="346"/>
      <c r="C105" s="347" t="s">
        <v>231</v>
      </c>
      <c r="D105" s="23" t="s">
        <v>232</v>
      </c>
      <c r="E105" s="22"/>
      <c r="F105" s="24"/>
      <c r="G105" s="39"/>
      <c r="H105" s="39"/>
      <c r="I105" s="245">
        <f>I106+I111</f>
        <v>0</v>
      </c>
      <c r="J105" s="245">
        <f>J106+J111</f>
        <v>0</v>
      </c>
      <c r="K105" s="26" t="e">
        <f>J105/$J$685</f>
        <v>#DIV/0!</v>
      </c>
    </row>
    <row r="106" spans="1:12" ht="19.899999999999999" customHeight="1" outlineLevel="1">
      <c r="A106" s="246"/>
      <c r="B106" s="246"/>
      <c r="C106" s="251" t="s">
        <v>233</v>
      </c>
      <c r="D106" s="993" t="s">
        <v>234</v>
      </c>
      <c r="E106" s="993"/>
      <c r="F106" s="993"/>
      <c r="G106" s="993"/>
      <c r="H106" s="993"/>
      <c r="I106" s="269">
        <f>SUM(I107:I110)</f>
        <v>0</v>
      </c>
      <c r="J106" s="269">
        <f>SUM(J107:J110)</f>
        <v>0</v>
      </c>
      <c r="K106" s="32" t="e">
        <f>J106/$J$685</f>
        <v>#DIV/0!</v>
      </c>
    </row>
    <row r="107" spans="1:12" ht="57" outlineLevel="2">
      <c r="A107" s="246">
        <v>103328</v>
      </c>
      <c r="B107" s="247" t="s">
        <v>26</v>
      </c>
      <c r="C107" s="247" t="s">
        <v>235</v>
      </c>
      <c r="D107" s="774" t="s">
        <v>236</v>
      </c>
      <c r="E107" s="567" t="s">
        <v>61</v>
      </c>
      <c r="F107" s="739">
        <f>'MEMORIAL DE CALCULO'!N933</f>
        <v>1739.8252769999997</v>
      </c>
      <c r="G107" s="1171"/>
      <c r="H107" s="825">
        <f>G107*$I$5</f>
        <v>0</v>
      </c>
      <c r="I107" s="874">
        <f>F107*G107</f>
        <v>0</v>
      </c>
      <c r="J107" s="874">
        <f>F107*H107</f>
        <v>0</v>
      </c>
      <c r="K107" s="562"/>
    </row>
    <row r="108" spans="1:12" ht="42.75" outlineLevel="2">
      <c r="A108" s="246">
        <v>101161</v>
      </c>
      <c r="B108" s="247" t="s">
        <v>26</v>
      </c>
      <c r="C108" s="247" t="s">
        <v>237</v>
      </c>
      <c r="D108" s="774" t="s">
        <v>238</v>
      </c>
      <c r="E108" s="355" t="s">
        <v>61</v>
      </c>
      <c r="F108" s="771">
        <f>'MEMORIAL DE CALCULO'!N980</f>
        <v>8.6562000000000001</v>
      </c>
      <c r="G108" s="1171"/>
      <c r="H108" s="826">
        <f>G108*$I$5</f>
        <v>0</v>
      </c>
      <c r="I108" s="874">
        <f>F108*G108</f>
        <v>0</v>
      </c>
      <c r="J108" s="874">
        <f>F108*H108</f>
        <v>0</v>
      </c>
      <c r="K108" s="319"/>
    </row>
    <row r="109" spans="1:12" ht="71.25" outlineLevel="2">
      <c r="A109" s="246">
        <v>2376</v>
      </c>
      <c r="B109" s="247" t="s">
        <v>67</v>
      </c>
      <c r="C109" s="247" t="s">
        <v>239</v>
      </c>
      <c r="D109" s="774" t="s">
        <v>240</v>
      </c>
      <c r="E109" s="355" t="s">
        <v>61</v>
      </c>
      <c r="F109" s="771">
        <f>'MEMORIAL DE CALCULO'!N982</f>
        <v>607.04717000000005</v>
      </c>
      <c r="G109" s="1171"/>
      <c r="H109" s="826">
        <f>G109*$I$5</f>
        <v>0</v>
      </c>
      <c r="I109" s="874">
        <f>F109*G109</f>
        <v>0</v>
      </c>
      <c r="J109" s="874">
        <f>F109*H109</f>
        <v>0</v>
      </c>
      <c r="K109" s="319"/>
    </row>
    <row r="110" spans="1:12" ht="28.5" outlineLevel="2">
      <c r="A110" s="246">
        <v>13128</v>
      </c>
      <c r="B110" s="247" t="s">
        <v>67</v>
      </c>
      <c r="C110" s="247" t="s">
        <v>241</v>
      </c>
      <c r="D110" s="774" t="s">
        <v>242</v>
      </c>
      <c r="E110" s="355" t="s">
        <v>61</v>
      </c>
      <c r="F110" s="771">
        <f>'MEMORIAL DE CALCULO'!N989</f>
        <v>28.980000000000004</v>
      </c>
      <c r="G110" s="1171"/>
      <c r="H110" s="826">
        <f>G110*$I$5</f>
        <v>0</v>
      </c>
      <c r="I110" s="874">
        <f>F110*G110</f>
        <v>0</v>
      </c>
      <c r="J110" s="874">
        <f>F110*H110</f>
        <v>0</v>
      </c>
      <c r="K110" s="319"/>
    </row>
    <row r="111" spans="1:12" ht="19.899999999999999" customHeight="1" outlineLevel="1">
      <c r="A111" s="246"/>
      <c r="B111" s="246"/>
      <c r="C111" s="251" t="s">
        <v>243</v>
      </c>
      <c r="D111" s="993" t="s">
        <v>220</v>
      </c>
      <c r="E111" s="993"/>
      <c r="F111" s="993"/>
      <c r="G111" s="993"/>
      <c r="H111" s="993"/>
      <c r="I111" s="269">
        <f>SUM(I112:I118)</f>
        <v>0</v>
      </c>
      <c r="J111" s="269">
        <f>SUM(J112:J118)</f>
        <v>0</v>
      </c>
      <c r="K111" s="32" t="e">
        <f>J111/$J$685</f>
        <v>#DIV/0!</v>
      </c>
    </row>
    <row r="112" spans="1:12" ht="32.450000000000003" customHeight="1" outlineLevel="2">
      <c r="A112" s="246">
        <v>93184</v>
      </c>
      <c r="B112" s="247" t="s">
        <v>26</v>
      </c>
      <c r="C112" s="247" t="s">
        <v>244</v>
      </c>
      <c r="D112" s="784" t="s">
        <v>245</v>
      </c>
      <c r="E112" s="567" t="s">
        <v>246</v>
      </c>
      <c r="F112" s="739">
        <f>'MEMORIAL DE CALCULO'!J992</f>
        <v>68.44</v>
      </c>
      <c r="G112" s="1171"/>
      <c r="H112" s="825">
        <f t="shared" ref="H112:H117" si="65">G112*$I$5</f>
        <v>0</v>
      </c>
      <c r="I112" s="874">
        <f t="shared" ref="I112:I117" si="66">F112*G112</f>
        <v>0</v>
      </c>
      <c r="J112" s="874">
        <f t="shared" ref="J112:J117" si="67">F112*H112</f>
        <v>0</v>
      </c>
      <c r="K112" s="562"/>
    </row>
    <row r="113" spans="1:12" ht="28.5" outlineLevel="2">
      <c r="A113" s="246">
        <v>93185</v>
      </c>
      <c r="B113" s="247" t="s">
        <v>26</v>
      </c>
      <c r="C113" s="247" t="s">
        <v>247</v>
      </c>
      <c r="D113" s="784" t="s">
        <v>248</v>
      </c>
      <c r="E113" s="353" t="s">
        <v>246</v>
      </c>
      <c r="F113" s="362">
        <f>'MEMORIAL DE CALCULO'!J1005</f>
        <v>92.63000000000001</v>
      </c>
      <c r="G113" s="1171"/>
      <c r="H113" s="361">
        <f t="shared" si="65"/>
        <v>0</v>
      </c>
      <c r="I113" s="874">
        <f t="shared" si="66"/>
        <v>0</v>
      </c>
      <c r="J113" s="874">
        <f t="shared" si="67"/>
        <v>0</v>
      </c>
      <c r="K113" s="32"/>
    </row>
    <row r="114" spans="1:12" ht="28.5" outlineLevel="2">
      <c r="A114" s="246">
        <v>93194</v>
      </c>
      <c r="B114" s="247" t="s">
        <v>26</v>
      </c>
      <c r="C114" s="247" t="s">
        <v>249</v>
      </c>
      <c r="D114" s="784" t="s">
        <v>250</v>
      </c>
      <c r="E114" s="353" t="s">
        <v>246</v>
      </c>
      <c r="F114" s="362">
        <f>'MEMORIAL DE CALCULO'!J1026</f>
        <v>15.34</v>
      </c>
      <c r="G114" s="1171"/>
      <c r="H114" s="361">
        <f t="shared" si="65"/>
        <v>0</v>
      </c>
      <c r="I114" s="874">
        <f t="shared" si="66"/>
        <v>0</v>
      </c>
      <c r="J114" s="874">
        <f t="shared" si="67"/>
        <v>0</v>
      </c>
      <c r="K114" s="32"/>
    </row>
    <row r="115" spans="1:12" ht="28.5" outlineLevel="2">
      <c r="A115" s="246">
        <v>93195</v>
      </c>
      <c r="B115" s="247" t="s">
        <v>26</v>
      </c>
      <c r="C115" s="247" t="s">
        <v>251</v>
      </c>
      <c r="D115" s="784" t="s">
        <v>252</v>
      </c>
      <c r="E115" s="353" t="s">
        <v>246</v>
      </c>
      <c r="F115" s="362">
        <f>'MEMORIAL DE CALCULO'!J1032</f>
        <v>24.18</v>
      </c>
      <c r="G115" s="1171"/>
      <c r="H115" s="361">
        <f t="shared" si="65"/>
        <v>0</v>
      </c>
      <c r="I115" s="874">
        <f t="shared" si="66"/>
        <v>0</v>
      </c>
      <c r="J115" s="874">
        <f t="shared" si="67"/>
        <v>0</v>
      </c>
      <c r="K115" s="32"/>
    </row>
    <row r="116" spans="1:12" ht="35.25" customHeight="1" outlineLevel="2">
      <c r="A116" s="253">
        <v>8394</v>
      </c>
      <c r="B116" s="254" t="s">
        <v>67</v>
      </c>
      <c r="C116" s="247" t="s">
        <v>253</v>
      </c>
      <c r="D116" s="800" t="str">
        <f>UPPER("Aplicação de Tela Fix largura 15cm, em encontros de Alvenarias com Vigas")</f>
        <v>APLICAÇÃO DE TELA FIX LARGURA 15CM, EM ENCONTROS DE ALVENARIAS COM VIGAS</v>
      </c>
      <c r="E116" s="353" t="s">
        <v>246</v>
      </c>
      <c r="F116" s="362">
        <f>'MEMORIAL DE CALCULO'!L1047</f>
        <v>436.82409999999987</v>
      </c>
      <c r="G116" s="1171"/>
      <c r="H116" s="361">
        <f t="shared" si="65"/>
        <v>0</v>
      </c>
      <c r="I116" s="874">
        <f t="shared" si="66"/>
        <v>0</v>
      </c>
      <c r="J116" s="874">
        <f t="shared" si="67"/>
        <v>0</v>
      </c>
      <c r="K116" s="32"/>
      <c r="L116" s="920" t="s">
        <v>2719</v>
      </c>
    </row>
    <row r="117" spans="1:12" ht="28.5" outlineLevel="2">
      <c r="A117" s="246">
        <v>93203</v>
      </c>
      <c r="B117" s="247" t="s">
        <v>26</v>
      </c>
      <c r="C117" s="247" t="s">
        <v>254</v>
      </c>
      <c r="D117" s="800" t="s">
        <v>255</v>
      </c>
      <c r="E117" s="355" t="s">
        <v>246</v>
      </c>
      <c r="F117" s="760">
        <f>'MEMORIAL DE CALCULO'!L1088</f>
        <v>436.82409999999987</v>
      </c>
      <c r="G117" s="1171"/>
      <c r="H117" s="826">
        <f t="shared" si="65"/>
        <v>0</v>
      </c>
      <c r="I117" s="874">
        <f t="shared" si="66"/>
        <v>0</v>
      </c>
      <c r="J117" s="874">
        <f t="shared" si="67"/>
        <v>0</v>
      </c>
      <c r="K117" s="319"/>
      <c r="L117" s="2" t="str">
        <f>UPPER(L116)</f>
        <v>CONCRETO ARMADO FCK=30,0MPA, USINADO, BOMBEADO, ADENSADO E LANÇADO, PARA USO GERAL, COM FORMAS PLANAS EM COMPENSADO RESINADO 12MM (05 USOS)</v>
      </c>
    </row>
    <row r="118" spans="1:12" ht="42.75" outlineLevel="2">
      <c r="A118" s="246">
        <v>7369</v>
      </c>
      <c r="B118" s="247" t="s">
        <v>67</v>
      </c>
      <c r="C118" s="247" t="s">
        <v>2721</v>
      </c>
      <c r="D118" s="800" t="s">
        <v>2720</v>
      </c>
      <c r="E118" s="355" t="s">
        <v>109</v>
      </c>
      <c r="F118" s="760">
        <f>'MEMORIAL DE CALCULO'!O1129</f>
        <v>0.87750000000000006</v>
      </c>
      <c r="G118" s="1171"/>
      <c r="H118" s="826">
        <f t="shared" ref="H118" si="68">G118*$I$5</f>
        <v>0</v>
      </c>
      <c r="I118" s="874">
        <f t="shared" ref="I118" si="69">F118*G118</f>
        <v>0</v>
      </c>
      <c r="J118" s="874">
        <f t="shared" ref="J118" si="70">F118*H118</f>
        <v>0</v>
      </c>
      <c r="K118" s="319"/>
    </row>
    <row r="119" spans="1:12" ht="22.15" customHeight="1">
      <c r="A119" s="346"/>
      <c r="B119" s="346"/>
      <c r="C119" s="347" t="s">
        <v>256</v>
      </c>
      <c r="D119" s="23" t="s">
        <v>257</v>
      </c>
      <c r="E119" s="22"/>
      <c r="F119" s="24"/>
      <c r="G119" s="679"/>
      <c r="H119" s="39"/>
      <c r="I119" s="245">
        <f>SUM(I120:I128)</f>
        <v>0</v>
      </c>
      <c r="J119" s="245">
        <f>SUM(J120:J128)</f>
        <v>0</v>
      </c>
      <c r="K119" s="26" t="e">
        <f>J119/$J$685</f>
        <v>#DIV/0!</v>
      </c>
    </row>
    <row r="120" spans="1:12" ht="42.75" outlineLevel="1">
      <c r="A120" s="246">
        <v>12732</v>
      </c>
      <c r="B120" s="246" t="s">
        <v>67</v>
      </c>
      <c r="C120" s="246" t="s">
        <v>258</v>
      </c>
      <c r="D120" s="774" t="s">
        <v>259</v>
      </c>
      <c r="E120" s="353" t="s">
        <v>61</v>
      </c>
      <c r="F120" s="362">
        <f>'MEMORIAL DE CALCULO'!N1136</f>
        <v>70.040000000000006</v>
      </c>
      <c r="G120" s="1171"/>
      <c r="H120" s="678">
        <f>G120*$I$5</f>
        <v>0</v>
      </c>
      <c r="I120" s="270">
        <f t="shared" ref="I120:I126" si="71">F120*G120</f>
        <v>0</v>
      </c>
      <c r="J120" s="270">
        <f t="shared" ref="J120:J126" si="72">H120*F120</f>
        <v>0</v>
      </c>
      <c r="K120" s="562"/>
    </row>
    <row r="121" spans="1:12" ht="60.75" customHeight="1" outlineLevel="1">
      <c r="A121" s="246">
        <v>12508</v>
      </c>
      <c r="B121" s="246" t="s">
        <v>67</v>
      </c>
      <c r="C121" s="246" t="s">
        <v>260</v>
      </c>
      <c r="D121" s="774" t="s">
        <v>261</v>
      </c>
      <c r="E121" s="353" t="s">
        <v>61</v>
      </c>
      <c r="F121" s="362">
        <f>'MEMORIAL DE CALCULO'!N1138</f>
        <v>70.040000000000006</v>
      </c>
      <c r="G121" s="1171"/>
      <c r="H121" s="678">
        <f t="shared" ref="H121:H159" si="73">G121*$I$5</f>
        <v>0</v>
      </c>
      <c r="I121" s="270">
        <f t="shared" ref="I121:I122" si="74">F121*G121</f>
        <v>0</v>
      </c>
      <c r="J121" s="270">
        <f t="shared" ref="J121:J122" si="75">H121*F121</f>
        <v>0</v>
      </c>
      <c r="K121" s="562"/>
    </row>
    <row r="122" spans="1:12" ht="42.75" outlineLevel="1">
      <c r="A122" s="246">
        <v>100435</v>
      </c>
      <c r="B122" s="648" t="s">
        <v>26</v>
      </c>
      <c r="C122" s="246" t="s">
        <v>262</v>
      </c>
      <c r="D122" s="774" t="s">
        <v>263</v>
      </c>
      <c r="E122" s="353" t="s">
        <v>246</v>
      </c>
      <c r="F122" s="362">
        <f>'MEMORIAL DE CALCULO'!J1140</f>
        <v>12.49</v>
      </c>
      <c r="G122" s="1171"/>
      <c r="H122" s="678">
        <f t="shared" si="73"/>
        <v>0</v>
      </c>
      <c r="I122" s="270">
        <f t="shared" si="74"/>
        <v>0</v>
      </c>
      <c r="J122" s="270">
        <f t="shared" si="75"/>
        <v>0</v>
      </c>
      <c r="K122" s="671"/>
    </row>
    <row r="123" spans="1:12" ht="28.5" outlineLevel="1">
      <c r="A123" s="246">
        <v>9753</v>
      </c>
      <c r="B123" s="648" t="s">
        <v>67</v>
      </c>
      <c r="C123" s="246" t="s">
        <v>264</v>
      </c>
      <c r="D123" s="774" t="s">
        <v>265</v>
      </c>
      <c r="E123" s="353" t="s">
        <v>246</v>
      </c>
      <c r="F123" s="362">
        <f>'MEMORIAL DE CALCULO'!L1142</f>
        <v>199.74789999999999</v>
      </c>
      <c r="G123" s="1171"/>
      <c r="H123" s="678">
        <f t="shared" si="73"/>
        <v>0</v>
      </c>
      <c r="I123" s="672">
        <f t="shared" si="71"/>
        <v>0</v>
      </c>
      <c r="J123" s="672">
        <f t="shared" si="72"/>
        <v>0</v>
      </c>
      <c r="K123" s="671"/>
    </row>
    <row r="124" spans="1:12" outlineLevel="1">
      <c r="A124" s="246">
        <v>8637</v>
      </c>
      <c r="B124" s="247" t="s">
        <v>67</v>
      </c>
      <c r="C124" s="246" t="s">
        <v>266</v>
      </c>
      <c r="D124" s="774" t="s">
        <v>267</v>
      </c>
      <c r="E124" s="353" t="s">
        <v>61</v>
      </c>
      <c r="F124" s="362">
        <f>'MEMORIAL DE CALCULO'!L1144</f>
        <v>107.79929999999999</v>
      </c>
      <c r="G124" s="1171"/>
      <c r="H124" s="678">
        <f t="shared" si="73"/>
        <v>0</v>
      </c>
      <c r="I124" s="874">
        <f t="shared" ref="I124" si="76">F124*G124</f>
        <v>0</v>
      </c>
      <c r="J124" s="874">
        <f t="shared" ref="J124" si="77">H124*F124</f>
        <v>0</v>
      </c>
      <c r="K124" s="32"/>
    </row>
    <row r="125" spans="1:12" ht="28.5" outlineLevel="1">
      <c r="A125" s="246">
        <v>90441</v>
      </c>
      <c r="B125" s="247" t="s">
        <v>26</v>
      </c>
      <c r="C125" s="246" t="s">
        <v>268</v>
      </c>
      <c r="D125" s="774" t="s">
        <v>269</v>
      </c>
      <c r="E125" s="353" t="s">
        <v>96</v>
      </c>
      <c r="F125" s="362">
        <f>'MEMORIAL DE CALCULO'!H1148</f>
        <v>54</v>
      </c>
      <c r="G125" s="1171"/>
      <c r="H125" s="678">
        <f t="shared" si="73"/>
        <v>0</v>
      </c>
      <c r="I125" s="874">
        <f t="shared" si="71"/>
        <v>0</v>
      </c>
      <c r="J125" s="874">
        <f t="shared" si="72"/>
        <v>0</v>
      </c>
      <c r="K125" s="32"/>
    </row>
    <row r="126" spans="1:12" ht="36.75" customHeight="1" outlineLevel="1">
      <c r="A126" s="246">
        <v>2460</v>
      </c>
      <c r="B126" s="247" t="s">
        <v>67</v>
      </c>
      <c r="C126" s="246" t="s">
        <v>270</v>
      </c>
      <c r="D126" s="774" t="str">
        <f>UPPER("Vigota pré-moldada 0.10 x 0.20 m, fornecimento e instalação - PERGOLADO")</f>
        <v>VIGOTA PRÉ-MOLDADA 0.10 X 0.20 M, FORNECIMENTO E INSTALAÇÃO - PERGOLADO</v>
      </c>
      <c r="E126" s="353" t="s">
        <v>246</v>
      </c>
      <c r="F126" s="362">
        <f>'MEMORIAL DE CALCULO'!L1150</f>
        <v>58.800000000000004</v>
      </c>
      <c r="G126" s="1171"/>
      <c r="H126" s="678">
        <f t="shared" si="73"/>
        <v>0</v>
      </c>
      <c r="I126" s="874">
        <f t="shared" si="71"/>
        <v>0</v>
      </c>
      <c r="J126" s="874">
        <f t="shared" si="72"/>
        <v>0</v>
      </c>
      <c r="K126" s="319"/>
    </row>
    <row r="127" spans="1:12" ht="36.75" customHeight="1" outlineLevel="1">
      <c r="A127" s="246">
        <v>244</v>
      </c>
      <c r="B127" s="247" t="s">
        <v>67</v>
      </c>
      <c r="C127" s="246" t="s">
        <v>271</v>
      </c>
      <c r="D127" s="774" t="s">
        <v>272</v>
      </c>
      <c r="E127" s="353" t="s">
        <v>61</v>
      </c>
      <c r="F127" s="362">
        <f>'MEMORIAL DE CALCULO'!N1152</f>
        <v>15.2</v>
      </c>
      <c r="G127" s="1171"/>
      <c r="H127" s="678">
        <f t="shared" si="73"/>
        <v>0</v>
      </c>
      <c r="I127" s="874">
        <f t="shared" ref="I127:I128" si="78">F127*G127</f>
        <v>0</v>
      </c>
      <c r="J127" s="874">
        <f t="shared" ref="J127:J128" si="79">H127*F127</f>
        <v>0</v>
      </c>
      <c r="K127" s="319"/>
    </row>
    <row r="128" spans="1:12" ht="40.5" customHeight="1" outlineLevel="1">
      <c r="A128" s="246">
        <v>10215</v>
      </c>
      <c r="B128" s="247" t="s">
        <v>67</v>
      </c>
      <c r="C128" s="246" t="s">
        <v>273</v>
      </c>
      <c r="D128" s="774" t="s">
        <v>274</v>
      </c>
      <c r="E128" s="353" t="s">
        <v>61</v>
      </c>
      <c r="F128" s="362">
        <f>'MEMORIAL DE CALCULO'!N1154</f>
        <v>15.2</v>
      </c>
      <c r="G128" s="1171"/>
      <c r="H128" s="678">
        <f t="shared" si="73"/>
        <v>0</v>
      </c>
      <c r="I128" s="874">
        <f t="shared" si="78"/>
        <v>0</v>
      </c>
      <c r="J128" s="874">
        <f t="shared" si="79"/>
        <v>0</v>
      </c>
      <c r="K128" s="319"/>
    </row>
    <row r="129" spans="1:11" s="44" customFormat="1" ht="22.15" customHeight="1">
      <c r="A129" s="255"/>
      <c r="B129" s="255"/>
      <c r="C129" s="256" t="s">
        <v>275</v>
      </c>
      <c r="D129" s="42" t="s">
        <v>276</v>
      </c>
      <c r="E129" s="41"/>
      <c r="F129" s="24"/>
      <c r="G129" s="40"/>
      <c r="H129" s="1167"/>
      <c r="I129" s="271">
        <f>SUM(I130:I135)</f>
        <v>0</v>
      </c>
      <c r="J129" s="271">
        <f>SUM(J130:J135)</f>
        <v>0</v>
      </c>
      <c r="K129" s="43" t="e">
        <f>J129/$J$685</f>
        <v>#DIV/0!</v>
      </c>
    </row>
    <row r="130" spans="1:11" ht="51" customHeight="1" outlineLevel="1">
      <c r="A130" s="246">
        <v>4953</v>
      </c>
      <c r="B130" s="247" t="s">
        <v>67</v>
      </c>
      <c r="C130" s="247" t="s">
        <v>277</v>
      </c>
      <c r="D130" s="774" t="s">
        <v>278</v>
      </c>
      <c r="E130" s="353" t="s">
        <v>61</v>
      </c>
      <c r="F130" s="362">
        <f>'MEMORIAL DE CALCULO'!N1158</f>
        <v>1474.60724</v>
      </c>
      <c r="G130" s="1171"/>
      <c r="H130" s="678">
        <f t="shared" si="73"/>
        <v>0</v>
      </c>
      <c r="I130" s="874">
        <f t="shared" ref="I130:I135" si="80">F130*G130</f>
        <v>0</v>
      </c>
      <c r="J130" s="874">
        <f t="shared" ref="J130:J135" si="81">F130*H130</f>
        <v>0</v>
      </c>
      <c r="K130" s="562"/>
    </row>
    <row r="131" spans="1:11" outlineLevel="1">
      <c r="A131" s="246">
        <v>4888</v>
      </c>
      <c r="B131" s="247" t="s">
        <v>67</v>
      </c>
      <c r="C131" s="247" t="s">
        <v>279</v>
      </c>
      <c r="D131" s="774" t="s">
        <v>280</v>
      </c>
      <c r="E131" s="353" t="s">
        <v>61</v>
      </c>
      <c r="F131" s="362">
        <f>'MEMORIAL DE CALCULO'!N1193</f>
        <v>850.11110000000008</v>
      </c>
      <c r="G131" s="1171"/>
      <c r="H131" s="678">
        <f t="shared" si="73"/>
        <v>0</v>
      </c>
      <c r="I131" s="874">
        <f t="shared" si="80"/>
        <v>0</v>
      </c>
      <c r="J131" s="874">
        <f t="shared" si="81"/>
        <v>0</v>
      </c>
      <c r="K131" s="32"/>
    </row>
    <row r="132" spans="1:11" ht="68.25" customHeight="1" outlineLevel="1">
      <c r="A132" s="246">
        <v>8953</v>
      </c>
      <c r="B132" s="247" t="s">
        <v>67</v>
      </c>
      <c r="C132" s="247" t="s">
        <v>281</v>
      </c>
      <c r="D132" s="774" t="s">
        <v>282</v>
      </c>
      <c r="E132" s="353" t="s">
        <v>61</v>
      </c>
      <c r="F132" s="362">
        <f>'MEMORIAL DE CALCULO'!N1198</f>
        <v>86.412879999999987</v>
      </c>
      <c r="G132" s="1171"/>
      <c r="H132" s="678">
        <f t="shared" si="73"/>
        <v>0</v>
      </c>
      <c r="I132" s="874">
        <f t="shared" si="80"/>
        <v>0</v>
      </c>
      <c r="J132" s="874">
        <f t="shared" si="81"/>
        <v>0</v>
      </c>
      <c r="K132" s="32"/>
    </row>
    <row r="133" spans="1:11" ht="42.75" outlineLevel="1">
      <c r="A133" s="246">
        <v>98546</v>
      </c>
      <c r="B133" s="247" t="s">
        <v>26</v>
      </c>
      <c r="C133" s="247" t="s">
        <v>283</v>
      </c>
      <c r="D133" s="789" t="s">
        <v>284</v>
      </c>
      <c r="E133" s="775" t="s">
        <v>61</v>
      </c>
      <c r="F133" s="776">
        <f>'MEMORIAL DE CALCULO'!N1207</f>
        <v>991.01685000000009</v>
      </c>
      <c r="G133" s="1171"/>
      <c r="H133" s="678">
        <f t="shared" si="73"/>
        <v>0</v>
      </c>
      <c r="I133" s="874">
        <f t="shared" si="80"/>
        <v>0</v>
      </c>
      <c r="J133" s="874">
        <f t="shared" si="81"/>
        <v>0</v>
      </c>
      <c r="K133" s="32"/>
    </row>
    <row r="134" spans="1:11" ht="42.75" outlineLevel="1">
      <c r="A134" s="246">
        <v>98567</v>
      </c>
      <c r="B134" s="247" t="s">
        <v>26</v>
      </c>
      <c r="C134" s="246" t="s">
        <v>285</v>
      </c>
      <c r="D134" s="789" t="s">
        <v>286</v>
      </c>
      <c r="E134" s="775" t="s">
        <v>61</v>
      </c>
      <c r="F134" s="776">
        <f>'MEMORIAL DE CALCULO'!N1214</f>
        <v>850.11110000000008</v>
      </c>
      <c r="G134" s="1171"/>
      <c r="H134" s="678">
        <f t="shared" si="73"/>
        <v>0</v>
      </c>
      <c r="I134" s="874">
        <f t="shared" si="80"/>
        <v>0</v>
      </c>
      <c r="J134" s="874">
        <f t="shared" si="81"/>
        <v>0</v>
      </c>
      <c r="K134" s="319"/>
    </row>
    <row r="135" spans="1:11" ht="42.75" outlineLevel="1">
      <c r="A135" s="246">
        <v>98564</v>
      </c>
      <c r="B135" s="247" t="s">
        <v>26</v>
      </c>
      <c r="C135" s="246" t="s">
        <v>287</v>
      </c>
      <c r="D135" s="789" t="s">
        <v>288</v>
      </c>
      <c r="E135" s="775" t="s">
        <v>61</v>
      </c>
      <c r="F135" s="776">
        <f>'MEMORIAL DE CALCULO'!N1219</f>
        <v>140.90575000000001</v>
      </c>
      <c r="G135" s="1171"/>
      <c r="H135" s="678">
        <f t="shared" si="73"/>
        <v>0</v>
      </c>
      <c r="I135" s="874">
        <f t="shared" si="80"/>
        <v>0</v>
      </c>
      <c r="J135" s="874">
        <f t="shared" si="81"/>
        <v>0</v>
      </c>
      <c r="K135" s="319"/>
    </row>
    <row r="136" spans="1:11" ht="22.15" customHeight="1">
      <c r="A136" s="346"/>
      <c r="B136" s="346"/>
      <c r="C136" s="347" t="s">
        <v>289</v>
      </c>
      <c r="D136" s="23" t="s">
        <v>290</v>
      </c>
      <c r="E136" s="22"/>
      <c r="F136" s="24"/>
      <c r="G136" s="39"/>
      <c r="H136" s="1167">
        <f t="shared" si="73"/>
        <v>0</v>
      </c>
      <c r="I136" s="245">
        <f>SUM(I137,I144,I150)</f>
        <v>0</v>
      </c>
      <c r="J136" s="245">
        <f>SUM(J137,J144,J150)</f>
        <v>0</v>
      </c>
      <c r="K136" s="26" t="e">
        <f>J136/$J$685</f>
        <v>#DIV/0!</v>
      </c>
    </row>
    <row r="137" spans="1:11" ht="16.899999999999999" customHeight="1" outlineLevel="1">
      <c r="A137" s="246"/>
      <c r="B137" s="247"/>
      <c r="C137" s="249" t="s">
        <v>291</v>
      </c>
      <c r="D137" s="29" t="s">
        <v>292</v>
      </c>
      <c r="E137" s="984"/>
      <c r="F137" s="45"/>
      <c r="G137" s="46"/>
      <c r="H137" s="678">
        <f t="shared" si="73"/>
        <v>0</v>
      </c>
      <c r="I137" s="250">
        <f>SUM(I138:I143)</f>
        <v>0</v>
      </c>
      <c r="J137" s="250">
        <f>SUM(J138:J143)</f>
        <v>0</v>
      </c>
      <c r="K137" s="32" t="e">
        <f>J137/$J$685</f>
        <v>#DIV/0!</v>
      </c>
    </row>
    <row r="138" spans="1:11" ht="53.25" customHeight="1" outlineLevel="2">
      <c r="A138" s="246">
        <v>3764</v>
      </c>
      <c r="B138" s="246" t="s">
        <v>67</v>
      </c>
      <c r="C138" s="246" t="s">
        <v>293</v>
      </c>
      <c r="D138" s="789" t="s">
        <v>294</v>
      </c>
      <c r="E138" s="775" t="s">
        <v>55</v>
      </c>
      <c r="F138" s="776">
        <f>'MEMORIAL DE CALCULO'!H1224</f>
        <v>30</v>
      </c>
      <c r="G138" s="1171"/>
      <c r="H138" s="678">
        <f t="shared" si="73"/>
        <v>0</v>
      </c>
      <c r="I138" s="270">
        <f t="shared" ref="I138:I141" si="82">F138*G138</f>
        <v>0</v>
      </c>
      <c r="J138" s="272">
        <f t="shared" ref="J138:J141" si="83">F138*H138</f>
        <v>0</v>
      </c>
      <c r="K138" s="566"/>
    </row>
    <row r="139" spans="1:11" ht="42.75" outlineLevel="2">
      <c r="A139" s="646" t="str">
        <f>'COMP. GERAL'!A58</f>
        <v>COMP - 00/04</v>
      </c>
      <c r="B139" s="645"/>
      <c r="C139" s="247" t="s">
        <v>295</v>
      </c>
      <c r="D139" s="789" t="str">
        <f>'COMP. GERAL'!B58</f>
        <v>PORTA EM MADEIRA COMPENSADA (CANELA), LISA, SEMI-ÔCA, 0.70 X 2.10 M, REVESTIDA C/FÓRMICA, INCLUSIVE BATENTES E FERRAGENS</v>
      </c>
      <c r="E139" s="775" t="s">
        <v>55</v>
      </c>
      <c r="F139" s="776">
        <f>'MEMORIAL DE CALCULO'!H1250</f>
        <v>8</v>
      </c>
      <c r="G139" s="1171"/>
      <c r="H139" s="678">
        <f t="shared" si="73"/>
        <v>0</v>
      </c>
      <c r="I139" s="874">
        <f t="shared" si="82"/>
        <v>0</v>
      </c>
      <c r="J139" s="272">
        <f t="shared" si="83"/>
        <v>0</v>
      </c>
      <c r="K139" s="244"/>
    </row>
    <row r="140" spans="1:11" ht="57" outlineLevel="2">
      <c r="A140" s="246" t="str">
        <f>'COMP. GERAL'!A76</f>
        <v>COMP - 00/05</v>
      </c>
      <c r="B140" s="246"/>
      <c r="C140" s="246" t="s">
        <v>296</v>
      </c>
      <c r="D140" s="789" t="str">
        <f>'COMP. GERAL'!B76</f>
        <v>PORTA EM MADEIRA COMPENSADA (CANELA), LISA, SEMI-ÔCA, 0.90 X 2.10 M, REVESTIDA C/FÓRMICA, INCLUSIVE BATENTES E FERRAGENS - COM PUXADOR HORIZONTAL E REVESTIMENTO COM PROTEÇÃO CONTRA IMPACTOS</v>
      </c>
      <c r="E140" s="775" t="s">
        <v>55</v>
      </c>
      <c r="F140" s="776">
        <f>'MEMORIAL DE CALCULO'!H1259</f>
        <v>2</v>
      </c>
      <c r="G140" s="1171"/>
      <c r="H140" s="678">
        <f t="shared" si="73"/>
        <v>0</v>
      </c>
      <c r="I140" s="270">
        <f t="shared" si="82"/>
        <v>0</v>
      </c>
      <c r="J140" s="273">
        <f t="shared" si="83"/>
        <v>0</v>
      </c>
      <c r="K140" s="244"/>
    </row>
    <row r="141" spans="1:11" ht="42.75" outlineLevel="2">
      <c r="A141" s="246">
        <v>8106</v>
      </c>
      <c r="B141" s="247" t="s">
        <v>67</v>
      </c>
      <c r="C141" s="247" t="s">
        <v>297</v>
      </c>
      <c r="D141" s="789" t="s">
        <v>298</v>
      </c>
      <c r="E141" s="775" t="s">
        <v>55</v>
      </c>
      <c r="F141" s="776">
        <f>'MEMORIAL DE CALCULO'!H1262</f>
        <v>1</v>
      </c>
      <c r="G141" s="1171"/>
      <c r="H141" s="678">
        <f t="shared" si="73"/>
        <v>0</v>
      </c>
      <c r="I141" s="874">
        <f t="shared" si="82"/>
        <v>0</v>
      </c>
      <c r="J141" s="272">
        <f t="shared" si="83"/>
        <v>0</v>
      </c>
      <c r="K141" s="244"/>
    </row>
    <row r="142" spans="1:11" ht="57" outlineLevel="2">
      <c r="A142" s="246">
        <v>7788</v>
      </c>
      <c r="B142" s="247" t="s">
        <v>67</v>
      </c>
      <c r="C142" s="247" t="s">
        <v>299</v>
      </c>
      <c r="D142" s="789" t="s">
        <v>300</v>
      </c>
      <c r="E142" s="775" t="s">
        <v>55</v>
      </c>
      <c r="F142" s="776">
        <f>'MEMORIAL DE CALCULO'!H1264</f>
        <v>4</v>
      </c>
      <c r="G142" s="1171"/>
      <c r="H142" s="678">
        <f t="shared" si="73"/>
        <v>0</v>
      </c>
      <c r="I142" s="874">
        <f>F142*G142</f>
        <v>0</v>
      </c>
      <c r="J142" s="272">
        <f>F142*H142</f>
        <v>0</v>
      </c>
      <c r="K142" s="244"/>
    </row>
    <row r="143" spans="1:11" ht="43.5" outlineLevel="2">
      <c r="A143" s="246">
        <v>2308</v>
      </c>
      <c r="B143" s="247" t="s">
        <v>67</v>
      </c>
      <c r="C143" s="247" t="s">
        <v>301</v>
      </c>
      <c r="D143" s="789" t="s">
        <v>302</v>
      </c>
      <c r="E143" s="775" t="s">
        <v>61</v>
      </c>
      <c r="F143" s="776">
        <f>'MEMORIAL DE CALCULO'!N1267</f>
        <v>65.599999999999994</v>
      </c>
      <c r="G143" s="1171"/>
      <c r="H143" s="678">
        <f t="shared" si="73"/>
        <v>0</v>
      </c>
      <c r="I143" s="874">
        <f>F143*G143</f>
        <v>0</v>
      </c>
      <c r="J143" s="272">
        <f>F143*H143</f>
        <v>0</v>
      </c>
      <c r="K143" s="244"/>
    </row>
    <row r="144" spans="1:11" ht="16.899999999999999" customHeight="1" outlineLevel="1">
      <c r="A144" s="246"/>
      <c r="B144" s="247"/>
      <c r="C144" s="249" t="s">
        <v>303</v>
      </c>
      <c r="D144" s="785" t="s">
        <v>304</v>
      </c>
      <c r="E144" s="983"/>
      <c r="F144" s="792"/>
      <c r="G144" s="799"/>
      <c r="H144" s="678"/>
      <c r="I144" s="250">
        <f>SUM(I145:I149)</f>
        <v>0</v>
      </c>
      <c r="J144" s="250">
        <f>SUM(J145:J149)</f>
        <v>0</v>
      </c>
      <c r="K144" s="32" t="e">
        <f>J144/$J$685</f>
        <v>#DIV/0!</v>
      </c>
    </row>
    <row r="145" spans="1:12" ht="42.75" outlineLevel="2">
      <c r="A145" s="298" t="str">
        <f>'COTAÇÕES ESQUADRIAS'!A1:H1</f>
        <v>MERC01/01</v>
      </c>
      <c r="B145" s="295"/>
      <c r="C145" s="548" t="s">
        <v>305</v>
      </c>
      <c r="D145" s="789" t="s">
        <v>306</v>
      </c>
      <c r="E145" s="775" t="s">
        <v>61</v>
      </c>
      <c r="F145" s="776">
        <f>'MEMORIAL DE CALCULO'!N1274</f>
        <v>182.02899999999997</v>
      </c>
      <c r="G145" s="1171"/>
      <c r="H145" s="678">
        <f t="shared" si="73"/>
        <v>0</v>
      </c>
      <c r="I145" s="549">
        <f>F145*G145</f>
        <v>0</v>
      </c>
      <c r="J145" s="550">
        <f>F145*H145</f>
        <v>0</v>
      </c>
      <c r="K145" s="243"/>
    </row>
    <row r="146" spans="1:12" ht="42.75" outlineLevel="2">
      <c r="A146" s="541">
        <v>11946</v>
      </c>
      <c r="B146" s="542" t="s">
        <v>67</v>
      </c>
      <c r="C146" s="543" t="s">
        <v>307</v>
      </c>
      <c r="D146" s="789" t="s">
        <v>308</v>
      </c>
      <c r="E146" s="775" t="s">
        <v>61</v>
      </c>
      <c r="F146" s="776">
        <f>'MEMORIAL DE CALCULO'!N1295</f>
        <v>1.704</v>
      </c>
      <c r="G146" s="1171"/>
      <c r="H146" s="1169">
        <f t="shared" si="73"/>
        <v>0</v>
      </c>
      <c r="I146" s="293">
        <f>F146*G146</f>
        <v>0</v>
      </c>
      <c r="J146" s="293">
        <f>F146*H146</f>
        <v>0</v>
      </c>
      <c r="K146" s="297"/>
    </row>
    <row r="147" spans="1:12" ht="42.75" outlineLevel="2">
      <c r="A147" s="541">
        <v>102162</v>
      </c>
      <c r="B147" s="545" t="s">
        <v>26</v>
      </c>
      <c r="C147" s="543" t="s">
        <v>309</v>
      </c>
      <c r="D147" s="789" t="s">
        <v>310</v>
      </c>
      <c r="E147" s="775" t="s">
        <v>61</v>
      </c>
      <c r="F147" s="776">
        <f>'MEMORIAL DE CALCULO'!N1297</f>
        <v>1.704</v>
      </c>
      <c r="G147" s="1171"/>
      <c r="H147" s="270">
        <f t="shared" si="73"/>
        <v>0</v>
      </c>
      <c r="I147" s="1168">
        <f>F147*G147</f>
        <v>0</v>
      </c>
      <c r="J147" s="293">
        <f>F147*H147</f>
        <v>0</v>
      </c>
      <c r="K147" s="297"/>
    </row>
    <row r="148" spans="1:12" ht="42.75" outlineLevel="2">
      <c r="A148" s="544">
        <v>99841</v>
      </c>
      <c r="B148" s="545" t="s">
        <v>26</v>
      </c>
      <c r="C148" s="543" t="s">
        <v>311</v>
      </c>
      <c r="D148" s="789" t="s">
        <v>312</v>
      </c>
      <c r="E148" s="775" t="s">
        <v>246</v>
      </c>
      <c r="F148" s="776">
        <f>'MEMORIAL DE CALCULO'!N1299</f>
        <v>10.98</v>
      </c>
      <c r="G148" s="1171"/>
      <c r="H148" s="678">
        <f t="shared" si="73"/>
        <v>0</v>
      </c>
      <c r="I148" s="293">
        <f>F148*G148</f>
        <v>0</v>
      </c>
      <c r="J148" s="546">
        <f>F148*H148</f>
        <v>0</v>
      </c>
      <c r="K148" s="547"/>
    </row>
    <row r="149" spans="1:12" ht="28.5" outlineLevel="2">
      <c r="A149" s="544">
        <v>9074</v>
      </c>
      <c r="B149" s="545" t="s">
        <v>67</v>
      </c>
      <c r="C149" s="543" t="s">
        <v>313</v>
      </c>
      <c r="D149" s="789" t="s">
        <v>314</v>
      </c>
      <c r="E149" s="775" t="s">
        <v>61</v>
      </c>
      <c r="F149" s="776">
        <f>'MEMORIAL DE CALCULO'!N1301</f>
        <v>74.52</v>
      </c>
      <c r="G149" s="1171"/>
      <c r="H149" s="678">
        <f t="shared" si="73"/>
        <v>0</v>
      </c>
      <c r="I149" s="293">
        <f t="shared" ref="I149" si="84">F149*G149</f>
        <v>0</v>
      </c>
      <c r="J149" s="546">
        <f t="shared" ref="J149" si="85">F149*H149</f>
        <v>0</v>
      </c>
      <c r="K149" s="547"/>
    </row>
    <row r="150" spans="1:12" outlineLevel="1">
      <c r="A150" s="569"/>
      <c r="B150" s="570"/>
      <c r="C150" s="571" t="s">
        <v>315</v>
      </c>
      <c r="D150" s="827" t="s">
        <v>316</v>
      </c>
      <c r="E150" s="828"/>
      <c r="F150" s="829"/>
      <c r="G150" s="830"/>
      <c r="H150" s="678"/>
      <c r="I150" s="572">
        <f>SUM(I151:I159)</f>
        <v>0</v>
      </c>
      <c r="J150" s="572">
        <f>SUM(J151:J159)</f>
        <v>0</v>
      </c>
      <c r="K150" s="562" t="e">
        <f>J150/$J$685</f>
        <v>#DIV/0!</v>
      </c>
    </row>
    <row r="151" spans="1:12" ht="69.75" customHeight="1" outlineLevel="2">
      <c r="A151" s="246" t="str">
        <f>'COMP. GERAL'!A110</f>
        <v>COMP - 00/07</v>
      </c>
      <c r="B151" s="247"/>
      <c r="C151" s="247" t="s">
        <v>317</v>
      </c>
      <c r="D151" s="789" t="str">
        <f>'COMP. GERAL'!B110</f>
        <v>PORTA DE ABRIR EM FERRO PARA CELA, C/BARRAS RED. VERTICAIS EM AÇO 1", BARRAS CHATAS HORIZONTAIS 2 1/2" X 1/4", REVESTIDA EM CHAPA AÇO 3MM, VISOR EM CHAPA ACRILICA ANTIVANDALISMO(15X51CM) E UMA TRANCA P/ PENITENCIÁRIA</v>
      </c>
      <c r="E151" s="775" t="s">
        <v>61</v>
      </c>
      <c r="F151" s="776">
        <f>'MEMORIAL DE CALCULO'!N1306</f>
        <v>1.6800000000000002</v>
      </c>
      <c r="G151" s="1171"/>
      <c r="H151" s="678">
        <f t="shared" si="73"/>
        <v>0</v>
      </c>
      <c r="I151" s="874">
        <f t="shared" ref="I151:I155" si="86">F151*G151</f>
        <v>0</v>
      </c>
      <c r="J151" s="272">
        <f t="shared" ref="J151:J155" si="87">F151*H151</f>
        <v>0</v>
      </c>
      <c r="K151" s="562"/>
    </row>
    <row r="152" spans="1:12" ht="28.5" customHeight="1" outlineLevel="2">
      <c r="A152" s="246">
        <v>100701</v>
      </c>
      <c r="B152" s="648" t="s">
        <v>26</v>
      </c>
      <c r="C152" s="247" t="s">
        <v>318</v>
      </c>
      <c r="D152" s="789" t="s">
        <v>319</v>
      </c>
      <c r="E152" s="775" t="s">
        <v>61</v>
      </c>
      <c r="F152" s="776">
        <f>'MEMORIAL DE CALCULO'!N1308</f>
        <v>8.4000000000000021</v>
      </c>
      <c r="G152" s="1171"/>
      <c r="H152" s="678">
        <f t="shared" si="73"/>
        <v>0</v>
      </c>
      <c r="I152" s="874">
        <f t="shared" si="86"/>
        <v>0</v>
      </c>
      <c r="J152" s="272">
        <f t="shared" si="87"/>
        <v>0</v>
      </c>
      <c r="K152" s="32"/>
    </row>
    <row r="153" spans="1:12" ht="58.5" customHeight="1" outlineLevel="2">
      <c r="A153" s="246" t="str">
        <f>'COMP. GERAL'!A133</f>
        <v>COMP - 00/08</v>
      </c>
      <c r="B153" s="247"/>
      <c r="C153" s="247" t="s">
        <v>320</v>
      </c>
      <c r="D153" s="789" t="str">
        <f>'COMP. GERAL'!B133</f>
        <v>PORTÃO EM GRADIL BELGO NYLOFORD 3D, DE ABRIR, SOLDADO EM QUADRO DE TUBO GALV. 2" COM CANTONEIRA 3/4", MONTANTES EM TUBO GALVANIZADO 4", INCLUSIVE FERROLHO E DOBRADIÇAS</v>
      </c>
      <c r="E153" s="775" t="s">
        <v>61</v>
      </c>
      <c r="F153" s="776">
        <f>'MEMORIAL DE CALCULO'!N1311</f>
        <v>8.52</v>
      </c>
      <c r="G153" s="1171"/>
      <c r="H153" s="678">
        <f t="shared" si="73"/>
        <v>0</v>
      </c>
      <c r="I153" s="874">
        <f t="shared" si="86"/>
        <v>0</v>
      </c>
      <c r="J153" s="272">
        <f t="shared" si="87"/>
        <v>0</v>
      </c>
      <c r="K153" s="32"/>
    </row>
    <row r="154" spans="1:12" ht="45.75" customHeight="1" outlineLevel="2">
      <c r="A154" s="246" t="str">
        <f>'COMP. GERAL'!A145</f>
        <v>COMP - 00/09</v>
      </c>
      <c r="B154" s="246"/>
      <c r="C154" s="246" t="s">
        <v>321</v>
      </c>
      <c r="D154" s="789" t="str">
        <f>'COMP. GERAL'!B145</f>
        <v>JANELA EM FERRO COM BARRAS VERTICAIS DE 1" COM 10CM DE ESPAÇAMENTO, APARELHADA NA COR PRETA.</v>
      </c>
      <c r="E154" s="775" t="s">
        <v>61</v>
      </c>
      <c r="F154" s="776">
        <f>'MEMORIAL DE CALCULO'!N1314</f>
        <v>1.3399999999999999</v>
      </c>
      <c r="G154" s="1171"/>
      <c r="H154" s="678">
        <f t="shared" si="73"/>
        <v>0</v>
      </c>
      <c r="I154" s="270">
        <f t="shared" si="86"/>
        <v>0</v>
      </c>
      <c r="J154" s="273">
        <f t="shared" si="87"/>
        <v>0</v>
      </c>
      <c r="K154" s="32"/>
    </row>
    <row r="155" spans="1:12" ht="42.75" outlineLevel="2">
      <c r="A155" s="246">
        <v>9035</v>
      </c>
      <c r="B155" s="247" t="s">
        <v>67</v>
      </c>
      <c r="C155" s="247" t="s">
        <v>322</v>
      </c>
      <c r="D155" s="789" t="s">
        <v>323</v>
      </c>
      <c r="E155" s="775" t="s">
        <v>61</v>
      </c>
      <c r="F155" s="776">
        <f>'MEMORIAL DE CALCULO'!N1317</f>
        <v>207.92470800000001</v>
      </c>
      <c r="G155" s="1171"/>
      <c r="H155" s="678">
        <f t="shared" si="73"/>
        <v>0</v>
      </c>
      <c r="I155" s="874">
        <f t="shared" si="86"/>
        <v>0</v>
      </c>
      <c r="J155" s="272">
        <f t="shared" si="87"/>
        <v>0</v>
      </c>
      <c r="K155" s="32"/>
      <c r="L155" s="291" t="s">
        <v>324</v>
      </c>
    </row>
    <row r="156" spans="1:12" ht="42.75" outlineLevel="2">
      <c r="A156" s="246">
        <v>11955</v>
      </c>
      <c r="B156" s="247" t="s">
        <v>67</v>
      </c>
      <c r="C156" s="246" t="s">
        <v>325</v>
      </c>
      <c r="D156" s="789" t="s">
        <v>326</v>
      </c>
      <c r="E156" s="775" t="s">
        <v>61</v>
      </c>
      <c r="F156" s="776">
        <f>'MEMORIAL DE CALCULO'!N1321</f>
        <v>8.25</v>
      </c>
      <c r="G156" s="1171"/>
      <c r="H156" s="678">
        <f t="shared" si="73"/>
        <v>0</v>
      </c>
      <c r="I156" s="874">
        <f t="shared" ref="I156" si="88">F156*G156</f>
        <v>0</v>
      </c>
      <c r="J156" s="272">
        <f t="shared" ref="J156" si="89">F156*H156</f>
        <v>0</v>
      </c>
      <c r="K156" s="32"/>
      <c r="L156" s="2" t="str">
        <f>UPPER(L155)</f>
        <v>KIT DE AUTOMATIZAÇÃO DE PORTÃO, INCLUSO: FERRAGENS (VIGA U, ROLDANAS COM PINO, CABO DE AÇO, CHAPA E MONTANTE, ETC.) E MOTOR PPA 1/4 CV - 220V</v>
      </c>
    </row>
    <row r="157" spans="1:12" ht="42.75" outlineLevel="2">
      <c r="A157" s="246" t="s">
        <v>327</v>
      </c>
      <c r="B157" s="247" t="s">
        <v>67</v>
      </c>
      <c r="C157" s="246" t="s">
        <v>328</v>
      </c>
      <c r="D157" s="789" t="s">
        <v>329</v>
      </c>
      <c r="E157" s="775" t="s">
        <v>55</v>
      </c>
      <c r="F157" s="776">
        <f>'MEMORIAL DE CALCULO'!H1323</f>
        <v>1</v>
      </c>
      <c r="G157" s="1171"/>
      <c r="H157" s="678">
        <f t="shared" si="73"/>
        <v>0</v>
      </c>
      <c r="I157" s="874">
        <f t="shared" ref="I157" si="90">F157*G157</f>
        <v>0</v>
      </c>
      <c r="J157" s="272">
        <f t="shared" ref="J157" si="91">F157*H157</f>
        <v>0</v>
      </c>
      <c r="K157" s="319"/>
    </row>
    <row r="158" spans="1:12" ht="42" customHeight="1" outlineLevel="2">
      <c r="A158" s="648" t="str">
        <f>'COMP. GERAL'!A159</f>
        <v>COMP - 00/10</v>
      </c>
      <c r="B158" s="649"/>
      <c r="C158" s="246" t="s">
        <v>330</v>
      </c>
      <c r="D158" s="789" t="str">
        <f>'COMP. GERAL'!B159</f>
        <v>GRADE DE FERRO PROTEÇÃO COM QUADRO EM BARRA HORIZONTAL CHATA DE 3/16" X 1" E BARRA VERTICAL QUADRADA 7/16" A CADA 12CM</v>
      </c>
      <c r="E158" s="775" t="s">
        <v>61</v>
      </c>
      <c r="F158" s="776">
        <f>'MEMORIAL DE CALCULO'!N1325</f>
        <v>47.143299999999996</v>
      </c>
      <c r="G158" s="1171"/>
      <c r="H158" s="678">
        <f t="shared" si="73"/>
        <v>0</v>
      </c>
      <c r="I158" s="664">
        <f>F158*G158</f>
        <v>0</v>
      </c>
      <c r="J158" s="664">
        <f>F158*H158</f>
        <v>0</v>
      </c>
      <c r="K158" s="663"/>
    </row>
    <row r="159" spans="1:12" ht="57.75" customHeight="1" outlineLevel="2">
      <c r="A159" s="648">
        <v>100758</v>
      </c>
      <c r="B159" s="649" t="s">
        <v>26</v>
      </c>
      <c r="C159" s="246" t="s">
        <v>331</v>
      </c>
      <c r="D159" s="789" t="s">
        <v>332</v>
      </c>
      <c r="E159" s="775" t="s">
        <v>61</v>
      </c>
      <c r="F159" s="776">
        <f>'MEMORIAL DE CALCULO'!N1335</f>
        <v>216.32470800000002</v>
      </c>
      <c r="G159" s="1171"/>
      <c r="H159" s="678">
        <f t="shared" si="73"/>
        <v>0</v>
      </c>
      <c r="I159" s="664">
        <f>F159*G159</f>
        <v>0</v>
      </c>
      <c r="J159" s="664">
        <f>F159*H159</f>
        <v>0</v>
      </c>
      <c r="K159" s="663"/>
    </row>
    <row r="160" spans="1:12" ht="22.15" customHeight="1">
      <c r="A160" s="346"/>
      <c r="B160" s="346"/>
      <c r="C160" s="347" t="s">
        <v>333</v>
      </c>
      <c r="D160" s="23" t="s">
        <v>334</v>
      </c>
      <c r="E160" s="22"/>
      <c r="F160" s="24"/>
      <c r="G160" s="39"/>
      <c r="H160" s="39"/>
      <c r="I160" s="245">
        <f>I161+I167+I172+I176</f>
        <v>0</v>
      </c>
      <c r="J160" s="245">
        <f>J161+J167+J172+J176</f>
        <v>0</v>
      </c>
      <c r="K160" s="26" t="e">
        <f>J160/$J$685</f>
        <v>#DIV/0!</v>
      </c>
    </row>
    <row r="161" spans="1:13" ht="21" customHeight="1" outlineLevel="1">
      <c r="A161" s="246"/>
      <c r="B161" s="247"/>
      <c r="C161" s="249" t="s">
        <v>335</v>
      </c>
      <c r="D161" s="999" t="s">
        <v>336</v>
      </c>
      <c r="E161" s="999"/>
      <c r="F161" s="999"/>
      <c r="G161" s="999"/>
      <c r="H161" s="999"/>
      <c r="I161" s="250">
        <f>SUM(I162:I166)</f>
        <v>0</v>
      </c>
      <c r="J161" s="250">
        <f>SUM(J162:J166)</f>
        <v>0</v>
      </c>
      <c r="K161" s="32" t="e">
        <f>J161/$J$685</f>
        <v>#DIV/0!</v>
      </c>
    </row>
    <row r="162" spans="1:13" ht="69" customHeight="1" outlineLevel="2">
      <c r="A162" s="246">
        <v>87878</v>
      </c>
      <c r="B162" s="247" t="s">
        <v>26</v>
      </c>
      <c r="C162" s="247" t="s">
        <v>337</v>
      </c>
      <c r="D162" s="789" t="s">
        <v>338</v>
      </c>
      <c r="E162" s="775" t="s">
        <v>61</v>
      </c>
      <c r="F162" s="776">
        <f>'MEMORIAL DE CALCULO'!N1344</f>
        <v>3618.9312050000008</v>
      </c>
      <c r="G162" s="1171"/>
      <c r="H162" s="678">
        <f t="shared" ref="H162:H179" si="92">G162*$I$5</f>
        <v>0</v>
      </c>
      <c r="I162" s="874">
        <f>F162*G162</f>
        <v>0</v>
      </c>
      <c r="J162" s="874">
        <f>F162*H162</f>
        <v>0</v>
      </c>
      <c r="K162" s="566"/>
    </row>
    <row r="163" spans="1:13" ht="66.75" customHeight="1" outlineLevel="2">
      <c r="A163" s="246">
        <v>87777</v>
      </c>
      <c r="B163" s="247" t="s">
        <v>26</v>
      </c>
      <c r="C163" s="247" t="s">
        <v>339</v>
      </c>
      <c r="D163" s="789" t="s">
        <v>340</v>
      </c>
      <c r="E163" s="775" t="s">
        <v>61</v>
      </c>
      <c r="F163" s="776">
        <f>'MEMORIAL DE CALCULO'!N1397</f>
        <v>1251.5143449999998</v>
      </c>
      <c r="G163" s="1171"/>
      <c r="H163" s="678">
        <f t="shared" si="92"/>
        <v>0</v>
      </c>
      <c r="I163" s="874">
        <f>F163*G163</f>
        <v>0</v>
      </c>
      <c r="J163" s="874">
        <f>F163*H163</f>
        <v>0</v>
      </c>
      <c r="K163" s="244"/>
    </row>
    <row r="164" spans="1:13" ht="63.75" customHeight="1" outlineLevel="2">
      <c r="A164" s="246">
        <v>87530</v>
      </c>
      <c r="B164" s="247" t="s">
        <v>26</v>
      </c>
      <c r="C164" s="247" t="s">
        <v>341</v>
      </c>
      <c r="D164" s="789" t="s">
        <v>342</v>
      </c>
      <c r="E164" s="775" t="s">
        <v>61</v>
      </c>
      <c r="F164" s="776">
        <f>'MEMORIAL DE CALCULO'!N1416</f>
        <v>3618.9312050000008</v>
      </c>
      <c r="G164" s="1171"/>
      <c r="H164" s="678">
        <f t="shared" si="92"/>
        <v>0</v>
      </c>
      <c r="I164" s="874">
        <f>F164*G164</f>
        <v>0</v>
      </c>
      <c r="J164" s="874">
        <f>F164*H164</f>
        <v>0</v>
      </c>
      <c r="K164" s="244"/>
    </row>
    <row r="165" spans="1:13" ht="42.75" outlineLevel="2">
      <c r="A165" s="246">
        <v>9716</v>
      </c>
      <c r="B165" s="247" t="s">
        <v>67</v>
      </c>
      <c r="C165" s="247" t="s">
        <v>343</v>
      </c>
      <c r="D165" s="789" t="s">
        <v>344</v>
      </c>
      <c r="E165" s="775" t="s">
        <v>246</v>
      </c>
      <c r="F165" s="776">
        <f>'MEMORIAL DE CALCULO'!L1468</f>
        <v>170</v>
      </c>
      <c r="G165" s="1171"/>
      <c r="H165" s="678">
        <f t="shared" si="92"/>
        <v>0</v>
      </c>
      <c r="I165" s="874">
        <f>F165*G165</f>
        <v>0</v>
      </c>
      <c r="J165" s="874">
        <f>F165*H165</f>
        <v>0</v>
      </c>
      <c r="K165" s="320"/>
    </row>
    <row r="166" spans="1:13" outlineLevel="2">
      <c r="A166" s="246">
        <v>11088</v>
      </c>
      <c r="B166" s="247" t="s">
        <v>67</v>
      </c>
      <c r="C166" s="247" t="s">
        <v>345</v>
      </c>
      <c r="D166" s="789" t="s">
        <v>346</v>
      </c>
      <c r="E166" s="775" t="s">
        <v>246</v>
      </c>
      <c r="F166" s="776">
        <f>'MEMORIAL DE CALCULO'!L1470</f>
        <v>121.4</v>
      </c>
      <c r="G166" s="1171"/>
      <c r="H166" s="678">
        <f t="shared" si="92"/>
        <v>0</v>
      </c>
      <c r="I166" s="874">
        <f>F166*G166</f>
        <v>0</v>
      </c>
      <c r="J166" s="874">
        <f>F166*H166</f>
        <v>0</v>
      </c>
      <c r="K166" s="320"/>
    </row>
    <row r="167" spans="1:13" ht="21" customHeight="1" outlineLevel="1">
      <c r="A167" s="246"/>
      <c r="B167" s="247"/>
      <c r="C167" s="249" t="s">
        <v>347</v>
      </c>
      <c r="D167" s="993" t="s">
        <v>348</v>
      </c>
      <c r="E167" s="993"/>
      <c r="F167" s="993"/>
      <c r="G167" s="993"/>
      <c r="H167" s="993"/>
      <c r="I167" s="250">
        <f>SUM(I168:I171)</f>
        <v>0</v>
      </c>
      <c r="J167" s="250">
        <f>SUM(J168:J171)</f>
        <v>0</v>
      </c>
      <c r="K167" s="32" t="e">
        <f>J167/$J$685</f>
        <v>#DIV/0!</v>
      </c>
    </row>
    <row r="168" spans="1:13" ht="57" outlineLevel="2">
      <c r="A168" s="246">
        <v>13430</v>
      </c>
      <c r="B168" s="246" t="s">
        <v>67</v>
      </c>
      <c r="C168" s="246" t="s">
        <v>349</v>
      </c>
      <c r="D168" s="789" t="s">
        <v>350</v>
      </c>
      <c r="E168" s="775" t="s">
        <v>61</v>
      </c>
      <c r="F168" s="776">
        <f>'MEMORIAL DE CALCULO'!N1475</f>
        <v>88.425349999999995</v>
      </c>
      <c r="G168" s="1171"/>
      <c r="H168" s="678">
        <f t="shared" si="92"/>
        <v>0</v>
      </c>
      <c r="I168" s="270">
        <f t="shared" ref="I168:I171" si="93">F168*G168</f>
        <v>0</v>
      </c>
      <c r="J168" s="270">
        <f t="shared" ref="J168:J171" si="94">F168*H168</f>
        <v>0</v>
      </c>
      <c r="K168" s="566"/>
    </row>
    <row r="169" spans="1:13" ht="68.25" customHeight="1" outlineLevel="2">
      <c r="A169" s="246" t="str">
        <f>'COMP. GERAL'!A19</f>
        <v>COMP - 00/02</v>
      </c>
      <c r="B169" s="247" t="s">
        <v>67</v>
      </c>
      <c r="C169" s="247" t="s">
        <v>351</v>
      </c>
      <c r="D169" s="789" t="str">
        <f>'COMP. GERAL'!B19</f>
        <v>REVESTIMENTO CERÂMICO PARA PAREDE, 10 X 10 CM, ELIANE, LINHA GALERIA BRANCO MESH, PEI - 3, APLICADO COM ARGAMASSA INDUSTRIALIZADA AC-II, REJUNTADO, EXCLUSIVE REGULARIZAÇÃO DE BASE OU EMBOÇO</v>
      </c>
      <c r="E169" s="775" t="s">
        <v>61</v>
      </c>
      <c r="F169" s="776">
        <f>'MEMORIAL DE CALCULO'!N1477</f>
        <v>903.47873550000008</v>
      </c>
      <c r="G169" s="1171"/>
      <c r="H169" s="678">
        <f t="shared" si="92"/>
        <v>0</v>
      </c>
      <c r="I169" s="874">
        <f t="shared" si="93"/>
        <v>0</v>
      </c>
      <c r="J169" s="874">
        <f t="shared" si="94"/>
        <v>0</v>
      </c>
      <c r="K169" s="244"/>
    </row>
    <row r="170" spans="1:13" ht="57" outlineLevel="2">
      <c r="A170" s="246">
        <v>10615</v>
      </c>
      <c r="B170" s="247" t="s">
        <v>67</v>
      </c>
      <c r="C170" s="247" t="s">
        <v>352</v>
      </c>
      <c r="D170" s="789" t="s">
        <v>353</v>
      </c>
      <c r="E170" s="775" t="s">
        <v>61</v>
      </c>
      <c r="F170" s="776">
        <f>'MEMORIAL DE CALCULO'!N1479</f>
        <v>254.26293200000001</v>
      </c>
      <c r="G170" s="1171"/>
      <c r="H170" s="1169">
        <f t="shared" si="92"/>
        <v>0</v>
      </c>
      <c r="I170" s="874">
        <f t="shared" ref="I170" si="95">F170*G170</f>
        <v>0</v>
      </c>
      <c r="J170" s="874">
        <f t="shared" ref="J170" si="96">F170*H170</f>
        <v>0</v>
      </c>
      <c r="K170" s="244"/>
    </row>
    <row r="171" spans="1:13" ht="59.25" customHeight="1" outlineLevel="2">
      <c r="A171" s="246">
        <v>11179</v>
      </c>
      <c r="B171" s="247" t="s">
        <v>67</v>
      </c>
      <c r="C171" s="247" t="s">
        <v>354</v>
      </c>
      <c r="D171" s="789" t="s">
        <v>355</v>
      </c>
      <c r="E171" s="775" t="s">
        <v>61</v>
      </c>
      <c r="F171" s="776">
        <f>'MEMORIAL DE CALCULO'!N1494</f>
        <v>48.180199999999992</v>
      </c>
      <c r="G171" s="1171"/>
      <c r="H171" s="270">
        <f t="shared" si="92"/>
        <v>0</v>
      </c>
      <c r="I171" s="874">
        <f t="shared" si="93"/>
        <v>0</v>
      </c>
      <c r="J171" s="874">
        <f t="shared" si="94"/>
        <v>0</v>
      </c>
      <c r="K171" s="244"/>
    </row>
    <row r="172" spans="1:13" ht="19.899999999999999" customHeight="1" outlineLevel="1">
      <c r="A172" s="246"/>
      <c r="B172" s="247"/>
      <c r="C172" s="249" t="s">
        <v>356</v>
      </c>
      <c r="D172" s="785" t="s">
        <v>357</v>
      </c>
      <c r="E172" s="983"/>
      <c r="F172" s="792"/>
      <c r="G172" s="799"/>
      <c r="H172" s="830"/>
      <c r="I172" s="250">
        <f>SUM(I173:I175)</f>
        <v>0</v>
      </c>
      <c r="J172" s="250">
        <f>SUM(J173:J175)</f>
        <v>0</v>
      </c>
      <c r="K172" s="32" t="e">
        <f>J172/$J$685</f>
        <v>#DIV/0!</v>
      </c>
    </row>
    <row r="173" spans="1:13" ht="19.899999999999999" customHeight="1" outlineLevel="2">
      <c r="A173" s="298" t="s">
        <v>358</v>
      </c>
      <c r="B173" s="247"/>
      <c r="C173" s="247" t="s">
        <v>359</v>
      </c>
      <c r="D173" s="789" t="s">
        <v>360</v>
      </c>
      <c r="E173" s="775" t="s">
        <v>55</v>
      </c>
      <c r="F173" s="776">
        <f>'MEMORIAL DE CALCULO'!H1507</f>
        <v>20</v>
      </c>
      <c r="G173" s="1171"/>
      <c r="H173" s="270">
        <f t="shared" si="92"/>
        <v>0</v>
      </c>
      <c r="I173" s="874">
        <f>F173*G173</f>
        <v>0</v>
      </c>
      <c r="J173" s="874">
        <f>F173*H173</f>
        <v>0</v>
      </c>
      <c r="K173" s="562"/>
    </row>
    <row r="174" spans="1:13" ht="21" customHeight="1" outlineLevel="2">
      <c r="A174" s="298" t="s">
        <v>358</v>
      </c>
      <c r="B174" s="247"/>
      <c r="C174" s="247" t="s">
        <v>361</v>
      </c>
      <c r="D174" s="789" t="s">
        <v>362</v>
      </c>
      <c r="E174" s="775" t="s">
        <v>55</v>
      </c>
      <c r="F174" s="776">
        <f>'MEMORIAL DE CALCULO'!H1509</f>
        <v>4</v>
      </c>
      <c r="G174" s="1171"/>
      <c r="H174" s="270">
        <f t="shared" si="92"/>
        <v>0</v>
      </c>
      <c r="I174" s="874">
        <f>F174*G174</f>
        <v>0</v>
      </c>
      <c r="J174" s="874">
        <f>F174*H174</f>
        <v>0</v>
      </c>
      <c r="K174" s="319"/>
    </row>
    <row r="175" spans="1:13" ht="42.75" outlineLevel="2">
      <c r="A175" s="246">
        <v>39719</v>
      </c>
      <c r="B175" s="247" t="s">
        <v>26</v>
      </c>
      <c r="C175" s="247" t="s">
        <v>363</v>
      </c>
      <c r="D175" s="789" t="s">
        <v>364</v>
      </c>
      <c r="E175" s="775" t="s">
        <v>365</v>
      </c>
      <c r="F175" s="776">
        <f>'MEMORIAL DE CALCULO'!H1511</f>
        <v>8</v>
      </c>
      <c r="G175" s="1171"/>
      <c r="H175" s="270">
        <f t="shared" si="92"/>
        <v>0</v>
      </c>
      <c r="I175" s="874">
        <f>F175*G175</f>
        <v>0</v>
      </c>
      <c r="J175" s="874">
        <f>F175*H175</f>
        <v>0</v>
      </c>
      <c r="K175" s="319"/>
      <c r="M175" s="2">
        <f>L175*6.77</f>
        <v>0</v>
      </c>
    </row>
    <row r="176" spans="1:13" outlineLevel="1">
      <c r="A176" s="246"/>
      <c r="B176" s="247"/>
      <c r="C176" s="249" t="s">
        <v>366</v>
      </c>
      <c r="D176" s="785" t="s">
        <v>367</v>
      </c>
      <c r="E176" s="983"/>
      <c r="F176" s="792"/>
      <c r="G176" s="799"/>
      <c r="H176" s="799"/>
      <c r="I176" s="250">
        <f>SUM(I177:I179)</f>
        <v>0</v>
      </c>
      <c r="J176" s="250">
        <f>SUM(J177:J179)</f>
        <v>0</v>
      </c>
      <c r="K176" s="32" t="e">
        <f>J176/$J$685</f>
        <v>#DIV/0!</v>
      </c>
    </row>
    <row r="177" spans="1:11" outlineLevel="1">
      <c r="A177" s="246" t="str">
        <f>'COTAÇÃO CIVIL'!A30:H30</f>
        <v>MERC02/05</v>
      </c>
      <c r="B177" s="247"/>
      <c r="C177" s="247" t="s">
        <v>368</v>
      </c>
      <c r="D177" s="789" t="s">
        <v>369</v>
      </c>
      <c r="E177" s="775" t="s">
        <v>55</v>
      </c>
      <c r="F177" s="776">
        <f>'MEMORIAL DE CALCULO'!H1515</f>
        <v>24</v>
      </c>
      <c r="G177" s="1171"/>
      <c r="H177" s="270">
        <f t="shared" si="92"/>
        <v>0</v>
      </c>
      <c r="I177" s="874">
        <f>F177*G177</f>
        <v>0</v>
      </c>
      <c r="J177" s="874">
        <f>F177*H177</f>
        <v>0</v>
      </c>
      <c r="K177" s="562"/>
    </row>
    <row r="178" spans="1:11" ht="33" customHeight="1" outlineLevel="1">
      <c r="A178" s="246" t="str">
        <f>'COMP. GERAL'!A95</f>
        <v>COMP - 00/06</v>
      </c>
      <c r="B178" s="247"/>
      <c r="C178" s="247" t="s">
        <v>370</v>
      </c>
      <c r="D178" s="789" t="str">
        <f>'COMP. GERAL'!B95</f>
        <v>FORNECIMENTO E INSTALAÇÃO DE FORRO WHITE CINE AE IR25 (0.620X1.245X25MM)</v>
      </c>
      <c r="E178" s="775" t="s">
        <v>61</v>
      </c>
      <c r="F178" s="776">
        <f>'MEMORIAL DE CALCULO'!N1519</f>
        <v>279.42619999999999</v>
      </c>
      <c r="G178" s="1171"/>
      <c r="H178" s="270">
        <f t="shared" si="92"/>
        <v>0</v>
      </c>
      <c r="I178" s="874">
        <f>F178*G178</f>
        <v>0</v>
      </c>
      <c r="J178" s="874">
        <f>F178*H178</f>
        <v>0</v>
      </c>
      <c r="K178" s="319"/>
    </row>
    <row r="179" spans="1:11" ht="28.5" outlineLevel="1">
      <c r="A179" s="246">
        <v>5045</v>
      </c>
      <c r="B179" s="247" t="s">
        <v>67</v>
      </c>
      <c r="C179" s="247" t="s">
        <v>371</v>
      </c>
      <c r="D179" s="789" t="s">
        <v>372</v>
      </c>
      <c r="E179" s="775" t="s">
        <v>61</v>
      </c>
      <c r="F179" s="776">
        <f>'MEMORIAL DE CALCULO'!N1528</f>
        <v>530.43280000000016</v>
      </c>
      <c r="G179" s="1171"/>
      <c r="H179" s="270">
        <f t="shared" si="92"/>
        <v>0</v>
      </c>
      <c r="I179" s="874">
        <f>F179*G179</f>
        <v>0</v>
      </c>
      <c r="J179" s="874">
        <f>F179*H179</f>
        <v>0</v>
      </c>
      <c r="K179" s="319"/>
    </row>
    <row r="180" spans="1:11" ht="16.149999999999999" customHeight="1">
      <c r="A180" s="346"/>
      <c r="B180" s="346"/>
      <c r="C180" s="347" t="s">
        <v>373</v>
      </c>
      <c r="D180" s="23" t="s">
        <v>374</v>
      </c>
      <c r="E180" s="22"/>
      <c r="F180" s="24"/>
      <c r="G180" s="39"/>
      <c r="H180" s="39"/>
      <c r="I180" s="245">
        <f>I181+I186+I190</f>
        <v>0</v>
      </c>
      <c r="J180" s="245">
        <f>J181+J186+J190</f>
        <v>0</v>
      </c>
      <c r="K180" s="26" t="e">
        <f>J180/$J$685</f>
        <v>#DIV/0!</v>
      </c>
    </row>
    <row r="181" spans="1:11" outlineLevel="1">
      <c r="A181" s="246"/>
      <c r="B181" s="246"/>
      <c r="C181" s="251" t="s">
        <v>375</v>
      </c>
      <c r="D181" s="993" t="s">
        <v>376</v>
      </c>
      <c r="E181" s="993"/>
      <c r="F181" s="993"/>
      <c r="G181" s="993"/>
      <c r="H181" s="993"/>
      <c r="I181" s="269">
        <f>SUM(I182:I185)</f>
        <v>0</v>
      </c>
      <c r="J181" s="269">
        <f>SUM(J182:J185)</f>
        <v>0</v>
      </c>
      <c r="K181" s="32" t="e">
        <f>J181/$J$685</f>
        <v>#DIV/0!</v>
      </c>
    </row>
    <row r="182" spans="1:11" ht="28.5" outlineLevel="2">
      <c r="A182" s="246">
        <v>97113</v>
      </c>
      <c r="B182" s="247" t="s">
        <v>26</v>
      </c>
      <c r="C182" s="247" t="s">
        <v>377</v>
      </c>
      <c r="D182" s="789" t="s">
        <v>378</v>
      </c>
      <c r="E182" s="775" t="s">
        <v>61</v>
      </c>
      <c r="F182" s="776">
        <f>'MEMORIAL DE CALCULO'!N1563</f>
        <v>898.47999999999979</v>
      </c>
      <c r="G182" s="1171"/>
      <c r="H182" s="270">
        <f t="shared" ref="H182:H210" si="97">G182*$I$5</f>
        <v>0</v>
      </c>
      <c r="I182" s="874">
        <f t="shared" ref="I182:I183" si="98">F182*G182</f>
        <v>0</v>
      </c>
      <c r="J182" s="874">
        <f t="shared" ref="J182:J183" si="99">F182*H182</f>
        <v>0</v>
      </c>
      <c r="K182" s="566"/>
    </row>
    <row r="183" spans="1:11" ht="42.75" outlineLevel="2">
      <c r="A183" s="246">
        <v>11380</v>
      </c>
      <c r="B183" s="247" t="s">
        <v>67</v>
      </c>
      <c r="C183" s="247" t="s">
        <v>379</v>
      </c>
      <c r="D183" s="789" t="s">
        <v>380</v>
      </c>
      <c r="E183" s="775" t="s">
        <v>61</v>
      </c>
      <c r="F183" s="776">
        <f>'MEMORIAL DE CALCULO'!N1608</f>
        <v>898.47999999999979</v>
      </c>
      <c r="G183" s="1171"/>
      <c r="H183" s="270">
        <f t="shared" si="97"/>
        <v>0</v>
      </c>
      <c r="I183" s="874">
        <f t="shared" si="98"/>
        <v>0</v>
      </c>
      <c r="J183" s="874">
        <f t="shared" si="99"/>
        <v>0</v>
      </c>
      <c r="K183" s="566"/>
    </row>
    <row r="184" spans="1:11" ht="28.5" outlineLevel="2">
      <c r="A184" s="246">
        <v>2169</v>
      </c>
      <c r="B184" s="247" t="s">
        <v>67</v>
      </c>
      <c r="C184" s="247" t="s">
        <v>381</v>
      </c>
      <c r="D184" s="789" t="s">
        <v>382</v>
      </c>
      <c r="E184" s="775" t="s">
        <v>109</v>
      </c>
      <c r="F184" s="776">
        <f>'MEMORIAL DE CALCULO'!O1653</f>
        <v>62.893599999999999</v>
      </c>
      <c r="G184" s="1171"/>
      <c r="H184" s="270">
        <f t="shared" si="97"/>
        <v>0</v>
      </c>
      <c r="I184" s="874">
        <f>F184*G184</f>
        <v>0</v>
      </c>
      <c r="J184" s="874">
        <f>F184*H184</f>
        <v>0</v>
      </c>
      <c r="K184" s="566"/>
    </row>
    <row r="185" spans="1:11" ht="57" outlineLevel="2" collapsed="1">
      <c r="A185" s="246">
        <v>87702</v>
      </c>
      <c r="B185" s="247" t="s">
        <v>26</v>
      </c>
      <c r="C185" s="247" t="s">
        <v>383</v>
      </c>
      <c r="D185" s="789" t="s">
        <v>384</v>
      </c>
      <c r="E185" s="775" t="s">
        <v>61</v>
      </c>
      <c r="F185" s="776">
        <f>'MEMORIAL DE CALCULO'!N1698</f>
        <v>825.72599999999977</v>
      </c>
      <c r="G185" s="1171"/>
      <c r="H185" s="270">
        <f t="shared" si="97"/>
        <v>0</v>
      </c>
      <c r="I185" s="874">
        <f>F185*G185</f>
        <v>0</v>
      </c>
      <c r="J185" s="874">
        <f>F185*H185</f>
        <v>0</v>
      </c>
      <c r="K185" s="320"/>
    </row>
    <row r="186" spans="1:11" ht="14.45" customHeight="1" outlineLevel="1">
      <c r="A186" s="246"/>
      <c r="B186" s="246"/>
      <c r="C186" s="251" t="s">
        <v>385</v>
      </c>
      <c r="D186" s="993" t="s">
        <v>386</v>
      </c>
      <c r="E186" s="993"/>
      <c r="F186" s="993"/>
      <c r="G186" s="993"/>
      <c r="H186" s="993"/>
      <c r="I186" s="269">
        <f>SUM(I187:I189)</f>
        <v>0</v>
      </c>
      <c r="J186" s="269">
        <f>SUM(J187:J189)</f>
        <v>0</v>
      </c>
      <c r="K186" s="32" t="e">
        <f>J186/$J$685</f>
        <v>#DIV/0!</v>
      </c>
    </row>
    <row r="187" spans="1:11" ht="69" customHeight="1" outlineLevel="2">
      <c r="A187" s="246">
        <v>7767</v>
      </c>
      <c r="B187" s="247" t="s">
        <v>67</v>
      </c>
      <c r="C187" s="247" t="s">
        <v>387</v>
      </c>
      <c r="D187" s="789" t="s">
        <v>388</v>
      </c>
      <c r="E187" s="775" t="s">
        <v>61</v>
      </c>
      <c r="F187" s="776">
        <f>'MEMORIAL DE CALCULO'!N1745</f>
        <v>825.72324999999989</v>
      </c>
      <c r="G187" s="1171"/>
      <c r="H187" s="270">
        <f t="shared" si="97"/>
        <v>0</v>
      </c>
      <c r="I187" s="874">
        <f>F187*G187</f>
        <v>0</v>
      </c>
      <c r="J187" s="874">
        <f>F187*H187</f>
        <v>0</v>
      </c>
      <c r="K187" s="566"/>
    </row>
    <row r="188" spans="1:11" ht="72" outlineLevel="2" collapsed="1">
      <c r="A188" s="246">
        <v>7767</v>
      </c>
      <c r="B188" s="247" t="s">
        <v>67</v>
      </c>
      <c r="C188" s="247" t="s">
        <v>389</v>
      </c>
      <c r="D188" s="774" t="s">
        <v>390</v>
      </c>
      <c r="E188" s="775" t="s">
        <v>61</v>
      </c>
      <c r="F188" s="776">
        <f>'MEMORIAL DE CALCULO'!N1786</f>
        <v>264.971608</v>
      </c>
      <c r="G188" s="1171"/>
      <c r="H188" s="270">
        <f t="shared" si="97"/>
        <v>0</v>
      </c>
      <c r="I188" s="874">
        <f>F188*G188</f>
        <v>0</v>
      </c>
      <c r="J188" s="874">
        <f>F188*H188</f>
        <v>0</v>
      </c>
      <c r="K188" s="244"/>
    </row>
    <row r="189" spans="1:11" ht="28.5" outlineLevel="2">
      <c r="A189" s="246">
        <v>7285</v>
      </c>
      <c r="B189" s="247" t="s">
        <v>67</v>
      </c>
      <c r="C189" s="247" t="s">
        <v>391</v>
      </c>
      <c r="D189" s="774" t="s">
        <v>392</v>
      </c>
      <c r="E189" s="775" t="s">
        <v>246</v>
      </c>
      <c r="F189" s="776">
        <f>'MEMORIAL DE CALCULO'!L1827</f>
        <v>25</v>
      </c>
      <c r="G189" s="1171"/>
      <c r="H189" s="270">
        <f t="shared" si="97"/>
        <v>0</v>
      </c>
      <c r="I189" s="874">
        <f>F189*G189</f>
        <v>0</v>
      </c>
      <c r="J189" s="874">
        <f>F189*H189</f>
        <v>0</v>
      </c>
      <c r="K189" s="244"/>
    </row>
    <row r="190" spans="1:11" outlineLevel="1">
      <c r="A190" s="246"/>
      <c r="B190" s="246"/>
      <c r="C190" s="251" t="s">
        <v>393</v>
      </c>
      <c r="D190" s="993" t="s">
        <v>394</v>
      </c>
      <c r="E190" s="993"/>
      <c r="F190" s="993"/>
      <c r="G190" s="993"/>
      <c r="H190" s="993"/>
      <c r="I190" s="269">
        <f>SUM(I191:I196)</f>
        <v>0</v>
      </c>
      <c r="J190" s="269">
        <f>SUM(J191:J196)</f>
        <v>0</v>
      </c>
      <c r="K190" s="32" t="e">
        <f>J190/$J$685</f>
        <v>#DIV/0!</v>
      </c>
    </row>
    <row r="191" spans="1:11" ht="72.75" customHeight="1" outlineLevel="1">
      <c r="A191" s="246">
        <v>11461</v>
      </c>
      <c r="B191" s="247" t="s">
        <v>67</v>
      </c>
      <c r="C191" s="247" t="s">
        <v>395</v>
      </c>
      <c r="D191" s="774" t="s">
        <v>396</v>
      </c>
      <c r="E191" s="775" t="s">
        <v>61</v>
      </c>
      <c r="F191" s="776">
        <f>'MEMORIAL DE CALCULO'!N1832</f>
        <v>1760.15</v>
      </c>
      <c r="G191" s="1171"/>
      <c r="H191" s="270">
        <f t="shared" si="97"/>
        <v>0</v>
      </c>
      <c r="I191" s="874">
        <f t="shared" ref="I191:I196" si="100">F191*G191</f>
        <v>0</v>
      </c>
      <c r="J191" s="874">
        <f t="shared" ref="J191:J196" si="101">F191*H191</f>
        <v>0</v>
      </c>
      <c r="K191" s="566"/>
    </row>
    <row r="192" spans="1:11" ht="28.5" outlineLevel="1">
      <c r="A192" s="246">
        <v>4555</v>
      </c>
      <c r="B192" s="247" t="s">
        <v>67</v>
      </c>
      <c r="C192" s="247" t="s">
        <v>397</v>
      </c>
      <c r="D192" s="774" t="s">
        <v>398</v>
      </c>
      <c r="E192" s="775" t="s">
        <v>246</v>
      </c>
      <c r="F192" s="776">
        <f>'MEMORIAL DE CALCULO'!J1835</f>
        <v>579.6</v>
      </c>
      <c r="G192" s="1171"/>
      <c r="H192" s="270">
        <f t="shared" si="97"/>
        <v>0</v>
      </c>
      <c r="I192" s="874">
        <f t="shared" si="100"/>
        <v>0</v>
      </c>
      <c r="J192" s="874">
        <f t="shared" si="101"/>
        <v>0</v>
      </c>
      <c r="K192" s="244"/>
    </row>
    <row r="193" spans="1:11" ht="28.5" outlineLevel="1">
      <c r="A193" s="259" t="s">
        <v>399</v>
      </c>
      <c r="B193" s="260" t="s">
        <v>26</v>
      </c>
      <c r="C193" s="247" t="s">
        <v>400</v>
      </c>
      <c r="D193" s="789" t="s">
        <v>401</v>
      </c>
      <c r="E193" s="775" t="s">
        <v>61</v>
      </c>
      <c r="F193" s="776">
        <f>'MEMORIAL DE CALCULO'!N1838</f>
        <v>406.54790000000003</v>
      </c>
      <c r="G193" s="1171"/>
      <c r="H193" s="270">
        <f t="shared" si="97"/>
        <v>0</v>
      </c>
      <c r="I193" s="874">
        <f t="shared" si="100"/>
        <v>0</v>
      </c>
      <c r="J193" s="874">
        <f t="shared" si="101"/>
        <v>0</v>
      </c>
      <c r="K193" s="244"/>
    </row>
    <row r="194" spans="1:11" ht="31.5" customHeight="1" outlineLevel="1">
      <c r="A194" s="259" t="s">
        <v>402</v>
      </c>
      <c r="B194" s="260" t="s">
        <v>67</v>
      </c>
      <c r="C194" s="247" t="s">
        <v>403</v>
      </c>
      <c r="D194" s="789" t="s">
        <v>404</v>
      </c>
      <c r="E194" s="775" t="s">
        <v>61</v>
      </c>
      <c r="F194" s="776">
        <f>'MEMORIAL DE CALCULO'!N1843</f>
        <v>406.54790000000003</v>
      </c>
      <c r="G194" s="1171"/>
      <c r="H194" s="270">
        <f t="shared" si="97"/>
        <v>0</v>
      </c>
      <c r="I194" s="874">
        <f t="shared" si="100"/>
        <v>0</v>
      </c>
      <c r="J194" s="874">
        <f t="shared" si="101"/>
        <v>0</v>
      </c>
      <c r="K194" s="320"/>
    </row>
    <row r="195" spans="1:11" ht="42.75" outlineLevel="1">
      <c r="A195" s="348">
        <v>87262</v>
      </c>
      <c r="B195" s="260" t="s">
        <v>26</v>
      </c>
      <c r="C195" s="247" t="s">
        <v>405</v>
      </c>
      <c r="D195" s="789" t="s">
        <v>406</v>
      </c>
      <c r="E195" s="775" t="s">
        <v>61</v>
      </c>
      <c r="F195" s="776">
        <f>'MEMORIAL DE CALCULO'!N1848</f>
        <v>530.56320000000005</v>
      </c>
      <c r="G195" s="1171"/>
      <c r="H195" s="270">
        <f t="shared" si="97"/>
        <v>0</v>
      </c>
      <c r="I195" s="874">
        <f t="shared" si="100"/>
        <v>0</v>
      </c>
      <c r="J195" s="874">
        <f t="shared" si="101"/>
        <v>0</v>
      </c>
      <c r="K195" s="320"/>
    </row>
    <row r="196" spans="1:11" ht="42.75" outlineLevel="1">
      <c r="A196" s="259" t="s">
        <v>407</v>
      </c>
      <c r="B196" s="260" t="s">
        <v>67</v>
      </c>
      <c r="C196" s="247" t="s">
        <v>408</v>
      </c>
      <c r="D196" s="789" t="s">
        <v>409</v>
      </c>
      <c r="E196" s="775" t="s">
        <v>61</v>
      </c>
      <c r="F196" s="776">
        <f>'MEMORIAL DE CALCULO'!N1854</f>
        <v>17.968000000000007</v>
      </c>
      <c r="G196" s="1171"/>
      <c r="H196" s="270">
        <f t="shared" si="97"/>
        <v>0</v>
      </c>
      <c r="I196" s="874">
        <f t="shared" si="100"/>
        <v>0</v>
      </c>
      <c r="J196" s="874">
        <f t="shared" si="101"/>
        <v>0</v>
      </c>
      <c r="K196" s="320"/>
    </row>
    <row r="197" spans="1:11" ht="22.15" customHeight="1">
      <c r="A197" s="346"/>
      <c r="B197" s="346"/>
      <c r="C197" s="347" t="s">
        <v>410</v>
      </c>
      <c r="D197" s="23" t="s">
        <v>411</v>
      </c>
      <c r="E197" s="22"/>
      <c r="F197" s="24"/>
      <c r="G197" s="39"/>
      <c r="H197" s="39"/>
      <c r="I197" s="245">
        <f>SUM(I198:I210)</f>
        <v>0</v>
      </c>
      <c r="J197" s="245">
        <f>SUM(J198:J210)</f>
        <v>0</v>
      </c>
      <c r="K197" s="26" t="e">
        <f>J197/$J$685</f>
        <v>#DIV/0!</v>
      </c>
    </row>
    <row r="198" spans="1:11" ht="43.5" customHeight="1" outlineLevel="1">
      <c r="A198" s="246">
        <v>8624</v>
      </c>
      <c r="B198" s="247" t="s">
        <v>67</v>
      </c>
      <c r="C198" s="261" t="s">
        <v>412</v>
      </c>
      <c r="D198" s="789" t="s">
        <v>413</v>
      </c>
      <c r="E198" s="775" t="s">
        <v>61</v>
      </c>
      <c r="F198" s="776">
        <f>'MEMORIAL DE CALCULO'!N1877</f>
        <v>1452.8148799999999</v>
      </c>
      <c r="G198" s="1171"/>
      <c r="H198" s="270">
        <f t="shared" si="97"/>
        <v>0</v>
      </c>
      <c r="I198" s="874">
        <f t="shared" ref="I198:I200" si="102">F198*G198</f>
        <v>0</v>
      </c>
      <c r="J198" s="874">
        <f t="shared" ref="J198:J200" si="103">F198*H198</f>
        <v>0</v>
      </c>
      <c r="K198" s="566"/>
    </row>
    <row r="199" spans="1:11" ht="28.5" outlineLevel="1">
      <c r="A199" s="246">
        <v>88485</v>
      </c>
      <c r="B199" s="247" t="s">
        <v>26</v>
      </c>
      <c r="C199" s="261" t="s">
        <v>414</v>
      </c>
      <c r="D199" s="789" t="s">
        <v>415</v>
      </c>
      <c r="E199" s="775" t="s">
        <v>61</v>
      </c>
      <c r="F199" s="776">
        <f>'MEMORIAL DE CALCULO'!N1933</f>
        <v>1452.8148799999999</v>
      </c>
      <c r="G199" s="1171"/>
      <c r="H199" s="270">
        <f t="shared" si="97"/>
        <v>0</v>
      </c>
      <c r="I199" s="874">
        <f>F199*G199</f>
        <v>0</v>
      </c>
      <c r="J199" s="874">
        <f>F199*H199</f>
        <v>0</v>
      </c>
      <c r="K199" s="566"/>
    </row>
    <row r="200" spans="1:11" ht="29.25" outlineLevel="1">
      <c r="A200" s="246">
        <v>88489</v>
      </c>
      <c r="B200" s="247" t="s">
        <v>26</v>
      </c>
      <c r="C200" s="261" t="s">
        <v>416</v>
      </c>
      <c r="D200" s="789" t="s">
        <v>417</v>
      </c>
      <c r="E200" s="775" t="s">
        <v>61</v>
      </c>
      <c r="F200" s="776">
        <f>'MEMORIAL DE CALCULO'!N1933</f>
        <v>1452.8148799999999</v>
      </c>
      <c r="G200" s="1171"/>
      <c r="H200" s="270">
        <f t="shared" si="97"/>
        <v>0</v>
      </c>
      <c r="I200" s="874">
        <f t="shared" si="102"/>
        <v>0</v>
      </c>
      <c r="J200" s="874">
        <f t="shared" si="103"/>
        <v>0</v>
      </c>
      <c r="K200" s="244"/>
    </row>
    <row r="201" spans="1:11" ht="57" outlineLevel="1">
      <c r="A201" s="246">
        <v>3724</v>
      </c>
      <c r="B201" s="247" t="s">
        <v>67</v>
      </c>
      <c r="C201" s="261" t="s">
        <v>418</v>
      </c>
      <c r="D201" s="789" t="s">
        <v>419</v>
      </c>
      <c r="E201" s="775" t="s">
        <v>61</v>
      </c>
      <c r="F201" s="776">
        <f>'MEMORIAL DE CALCULO'!N1961</f>
        <v>136.35623519999999</v>
      </c>
      <c r="G201" s="1171"/>
      <c r="H201" s="270">
        <f t="shared" si="97"/>
        <v>0</v>
      </c>
      <c r="I201" s="874">
        <f t="shared" ref="I201:I210" si="104">F201*G201</f>
        <v>0</v>
      </c>
      <c r="J201" s="874">
        <f t="shared" ref="J201:J210" si="105">F201*H201</f>
        <v>0</v>
      </c>
      <c r="K201" s="244"/>
    </row>
    <row r="202" spans="1:11" ht="44.25" outlineLevel="1">
      <c r="A202" s="246">
        <v>88489</v>
      </c>
      <c r="B202" s="247" t="s">
        <v>26</v>
      </c>
      <c r="C202" s="261" t="s">
        <v>420</v>
      </c>
      <c r="D202" s="789" t="s">
        <v>421</v>
      </c>
      <c r="E202" s="775" t="s">
        <v>61</v>
      </c>
      <c r="F202" s="776">
        <f>'MEMORIAL DE CALCULO'!N1970</f>
        <v>70.084000000000003</v>
      </c>
      <c r="G202" s="1171"/>
      <c r="H202" s="270">
        <f t="shared" si="97"/>
        <v>0</v>
      </c>
      <c r="I202" s="874">
        <f t="shared" si="104"/>
        <v>0</v>
      </c>
      <c r="J202" s="874">
        <f t="shared" si="105"/>
        <v>0</v>
      </c>
      <c r="K202" s="244"/>
    </row>
    <row r="203" spans="1:11" ht="42.75" outlineLevel="1">
      <c r="A203" s="246">
        <v>2304</v>
      </c>
      <c r="B203" s="247" t="s">
        <v>67</v>
      </c>
      <c r="C203" s="261" t="s">
        <v>422</v>
      </c>
      <c r="D203" s="789" t="str">
        <f>UPPER("Pintura de proteção sobre superfícies metálicas com aplicação de 01 demão de tinta anti-corrosiva zarcão - R2")</f>
        <v>PINTURA DE PROTEÇÃO SOBRE SUPERFÍCIES METÁLICAS COM APLICAÇÃO DE 01 DEMÃO DE TINTA ANTI-CORROSIVA ZARCÃO - R2</v>
      </c>
      <c r="E203" s="775" t="s">
        <v>61</v>
      </c>
      <c r="F203" s="776">
        <f>'MEMORIAL DE CALCULO'!N1976</f>
        <v>3.695780000000001</v>
      </c>
      <c r="G203" s="1171"/>
      <c r="H203" s="270">
        <f t="shared" si="97"/>
        <v>0</v>
      </c>
      <c r="I203" s="874">
        <f t="shared" si="104"/>
        <v>0</v>
      </c>
      <c r="J203" s="874">
        <f t="shared" si="105"/>
        <v>0</v>
      </c>
      <c r="K203" s="244"/>
    </row>
    <row r="204" spans="1:11" ht="43.5" outlineLevel="1">
      <c r="A204" s="246">
        <v>2306</v>
      </c>
      <c r="B204" s="247" t="s">
        <v>67</v>
      </c>
      <c r="C204" s="261" t="s">
        <v>423</v>
      </c>
      <c r="D204" s="789" t="s">
        <v>424</v>
      </c>
      <c r="E204" s="775" t="s">
        <v>61</v>
      </c>
      <c r="F204" s="776">
        <f>'MEMORIAL DE CALCULO'!N1979</f>
        <v>3.695780000000001</v>
      </c>
      <c r="G204" s="1171"/>
      <c r="H204" s="270">
        <f t="shared" si="97"/>
        <v>0</v>
      </c>
      <c r="I204" s="874">
        <f t="shared" si="104"/>
        <v>0</v>
      </c>
      <c r="J204" s="874">
        <f t="shared" si="105"/>
        <v>0</v>
      </c>
      <c r="K204" s="320"/>
    </row>
    <row r="205" spans="1:11" ht="28.5" outlineLevel="1">
      <c r="A205" s="246">
        <v>88496</v>
      </c>
      <c r="B205" s="247" t="s">
        <v>26</v>
      </c>
      <c r="C205" s="261" t="s">
        <v>425</v>
      </c>
      <c r="D205" s="789" t="s">
        <v>426</v>
      </c>
      <c r="E205" s="775" t="s">
        <v>61</v>
      </c>
      <c r="F205" s="776">
        <f>'MEMORIAL DE CALCULO'!N1982</f>
        <v>5.18</v>
      </c>
      <c r="G205" s="1171"/>
      <c r="H205" s="270">
        <f t="shared" si="97"/>
        <v>0</v>
      </c>
      <c r="I205" s="874">
        <f t="shared" si="104"/>
        <v>0</v>
      </c>
      <c r="J205" s="874">
        <f t="shared" si="105"/>
        <v>0</v>
      </c>
      <c r="K205" s="320"/>
    </row>
    <row r="206" spans="1:11" ht="71.25" outlineLevel="1">
      <c r="A206" s="298">
        <v>2298</v>
      </c>
      <c r="B206" s="295" t="s">
        <v>67</v>
      </c>
      <c r="C206" s="555" t="s">
        <v>427</v>
      </c>
      <c r="D206" s="821" t="s">
        <v>428</v>
      </c>
      <c r="E206" s="797" t="s">
        <v>61</v>
      </c>
      <c r="F206" s="822">
        <f>'MEMORIAL DE CALCULO'!N1984</f>
        <v>5.18</v>
      </c>
      <c r="G206" s="1171"/>
      <c r="H206" s="270">
        <f t="shared" si="97"/>
        <v>0</v>
      </c>
      <c r="I206" s="549">
        <f t="shared" si="104"/>
        <v>0</v>
      </c>
      <c r="J206" s="549">
        <f t="shared" si="105"/>
        <v>0</v>
      </c>
      <c r="K206" s="320"/>
    </row>
    <row r="207" spans="1:11" ht="28.5" outlineLevel="1">
      <c r="A207" s="298">
        <v>95305</v>
      </c>
      <c r="B207" s="295" t="s">
        <v>26</v>
      </c>
      <c r="C207" s="555" t="s">
        <v>429</v>
      </c>
      <c r="D207" s="821" t="s">
        <v>430</v>
      </c>
      <c r="E207" s="797" t="s">
        <v>61</v>
      </c>
      <c r="F207" s="822">
        <f>'MEMORIAL DE CALCULO'!N1986</f>
        <v>1486.7212079999999</v>
      </c>
      <c r="G207" s="1171"/>
      <c r="H207" s="270">
        <f t="shared" si="97"/>
        <v>0</v>
      </c>
      <c r="I207" s="549">
        <f t="shared" si="104"/>
        <v>0</v>
      </c>
      <c r="J207" s="549">
        <f t="shared" si="105"/>
        <v>0</v>
      </c>
      <c r="K207" s="320"/>
    </row>
    <row r="208" spans="1:11" ht="42.75" outlineLevel="1">
      <c r="A208" s="298">
        <v>2288</v>
      </c>
      <c r="B208" s="295" t="s">
        <v>67</v>
      </c>
      <c r="C208" s="555" t="s">
        <v>431</v>
      </c>
      <c r="D208" s="821" t="s">
        <v>432</v>
      </c>
      <c r="E208" s="797" t="s">
        <v>61</v>
      </c>
      <c r="F208" s="822">
        <f>'MEMORIAL DE CALCULO'!N1993</f>
        <v>8.66</v>
      </c>
      <c r="G208" s="1171"/>
      <c r="H208" s="270">
        <f t="shared" si="97"/>
        <v>0</v>
      </c>
      <c r="I208" s="549">
        <f t="shared" si="104"/>
        <v>0</v>
      </c>
      <c r="J208" s="549">
        <f t="shared" si="105"/>
        <v>0</v>
      </c>
      <c r="K208" s="320"/>
    </row>
    <row r="209" spans="1:11" ht="57" outlineLevel="1">
      <c r="A209" s="298">
        <v>2296</v>
      </c>
      <c r="B209" s="295" t="s">
        <v>67</v>
      </c>
      <c r="C209" s="555" t="s">
        <v>433</v>
      </c>
      <c r="D209" s="821" t="s">
        <v>434</v>
      </c>
      <c r="E209" s="797" t="s">
        <v>61</v>
      </c>
      <c r="F209" s="822">
        <f>'MEMORIAL DE CALCULO'!N1995</f>
        <v>1486.7212079999999</v>
      </c>
      <c r="G209" s="1171"/>
      <c r="H209" s="270">
        <f t="shared" si="97"/>
        <v>0</v>
      </c>
      <c r="I209" s="549">
        <f t="shared" si="104"/>
        <v>0</v>
      </c>
      <c r="J209" s="549">
        <f t="shared" si="105"/>
        <v>0</v>
      </c>
      <c r="K209" s="320"/>
    </row>
    <row r="210" spans="1:11" ht="28.5" outlineLevel="1">
      <c r="A210" s="296">
        <v>102491</v>
      </c>
      <c r="B210" s="736" t="s">
        <v>26</v>
      </c>
      <c r="C210" s="555" t="s">
        <v>435</v>
      </c>
      <c r="D210" s="823" t="s">
        <v>436</v>
      </c>
      <c r="E210" s="544" t="s">
        <v>61</v>
      </c>
      <c r="F210" s="824">
        <f>'MEMORIAL DE CALCULO'!N2002</f>
        <v>396.10910000000001</v>
      </c>
      <c r="G210" s="1171"/>
      <c r="H210" s="270">
        <f t="shared" si="97"/>
        <v>0</v>
      </c>
      <c r="I210" s="737">
        <f t="shared" si="104"/>
        <v>0</v>
      </c>
      <c r="J210" s="737">
        <f t="shared" si="105"/>
        <v>0</v>
      </c>
      <c r="K210" s="729"/>
    </row>
    <row r="211" spans="1:11" ht="22.15" customHeight="1">
      <c r="A211" s="556"/>
      <c r="B211" s="556"/>
      <c r="C211" s="862" t="s">
        <v>437</v>
      </c>
      <c r="D211" s="730" t="s">
        <v>438</v>
      </c>
      <c r="E211" s="731"/>
      <c r="F211" s="732"/>
      <c r="G211" s="733"/>
      <c r="H211" s="734"/>
      <c r="I211" s="735">
        <f>I212+I259+I298</f>
        <v>0</v>
      </c>
      <c r="J211" s="735">
        <f>J212+J259+J298</f>
        <v>0</v>
      </c>
      <c r="K211" s="718" t="e">
        <f>J211/$J$685</f>
        <v>#DIV/0!</v>
      </c>
    </row>
    <row r="212" spans="1:11" ht="18" customHeight="1" outlineLevel="1">
      <c r="A212" s="246"/>
      <c r="B212" s="247"/>
      <c r="C212" s="249" t="s">
        <v>439</v>
      </c>
      <c r="D212" s="785" t="s">
        <v>440</v>
      </c>
      <c r="E212" s="983"/>
      <c r="F212" s="792"/>
      <c r="G212" s="799"/>
      <c r="H212" s="46"/>
      <c r="I212" s="250">
        <f>SUM(I213:I258)</f>
        <v>0</v>
      </c>
      <c r="J212" s="250">
        <f>SUM(J213:J258)</f>
        <v>0</v>
      </c>
      <c r="K212" s="32" t="e">
        <f>J212/$J$685</f>
        <v>#DIV/0!</v>
      </c>
    </row>
    <row r="213" spans="1:11" ht="28.5" customHeight="1" outlineLevel="2">
      <c r="A213" s="246">
        <v>88267</v>
      </c>
      <c r="B213" s="247" t="s">
        <v>26</v>
      </c>
      <c r="C213" s="649" t="s">
        <v>441</v>
      </c>
      <c r="D213" s="800" t="s">
        <v>442</v>
      </c>
      <c r="E213" s="801" t="s">
        <v>40</v>
      </c>
      <c r="F213" s="802">
        <f>'MEMORIAL DE CALCULO'!H2010</f>
        <v>40</v>
      </c>
      <c r="G213" s="1171"/>
      <c r="H213" s="270">
        <f t="shared" ref="H213:H277" si="106">G213*$I$5</f>
        <v>0</v>
      </c>
      <c r="I213" s="664">
        <f>F213*G213</f>
        <v>0</v>
      </c>
      <c r="J213" s="664">
        <f>H213*F213</f>
        <v>0</v>
      </c>
      <c r="K213" s="562"/>
    </row>
    <row r="214" spans="1:11" ht="31.5" customHeight="1" outlineLevel="2">
      <c r="A214" s="246">
        <v>88248</v>
      </c>
      <c r="B214" s="247" t="s">
        <v>26</v>
      </c>
      <c r="C214" s="649" t="s">
        <v>443</v>
      </c>
      <c r="D214" s="800" t="s">
        <v>444</v>
      </c>
      <c r="E214" s="801" t="s">
        <v>40</v>
      </c>
      <c r="F214" s="802">
        <f>'MEMORIAL DE CALCULO'!H2012</f>
        <v>40</v>
      </c>
      <c r="G214" s="1171"/>
      <c r="H214" s="270">
        <f t="shared" si="106"/>
        <v>0</v>
      </c>
      <c r="I214" s="664">
        <f>F214*G214</f>
        <v>0</v>
      </c>
      <c r="J214" s="664">
        <f>H214*F214</f>
        <v>0</v>
      </c>
      <c r="K214" s="562"/>
    </row>
    <row r="215" spans="1:11" ht="63.75" customHeight="1" outlineLevel="2">
      <c r="A215" s="246">
        <v>89383</v>
      </c>
      <c r="B215" s="247" t="s">
        <v>26</v>
      </c>
      <c r="C215" s="247" t="s">
        <v>445</v>
      </c>
      <c r="D215" s="784" t="s">
        <v>446</v>
      </c>
      <c r="E215" s="567" t="s">
        <v>55</v>
      </c>
      <c r="F215" s="782">
        <f>'MEMORIAL DE CALCULO'!H2014</f>
        <v>6</v>
      </c>
      <c r="G215" s="1171"/>
      <c r="H215" s="270">
        <f t="shared" si="106"/>
        <v>0</v>
      </c>
      <c r="I215" s="874">
        <f t="shared" ref="I215:I257" si="107">F215*G215</f>
        <v>0</v>
      </c>
      <c r="J215" s="874">
        <f t="shared" ref="J215:J257" si="108">H215*F215</f>
        <v>0</v>
      </c>
      <c r="K215" s="566"/>
    </row>
    <row r="216" spans="1:11" ht="79.5" customHeight="1" outlineLevel="2">
      <c r="A216" s="246">
        <v>94703</v>
      </c>
      <c r="B216" s="247" t="s">
        <v>26</v>
      </c>
      <c r="C216" s="247" t="s">
        <v>447</v>
      </c>
      <c r="D216" s="774" t="s">
        <v>448</v>
      </c>
      <c r="E216" s="353" t="s">
        <v>55</v>
      </c>
      <c r="F216" s="360">
        <f>'MEMORIAL DE CALCULO'!H2016</f>
        <v>6</v>
      </c>
      <c r="G216" s="1171"/>
      <c r="H216" s="270">
        <f t="shared" si="106"/>
        <v>0</v>
      </c>
      <c r="I216" s="874">
        <f t="shared" si="107"/>
        <v>0</v>
      </c>
      <c r="J216" s="874">
        <f t="shared" si="108"/>
        <v>0</v>
      </c>
      <c r="K216" s="244"/>
    </row>
    <row r="217" spans="1:11" ht="37.5" customHeight="1" outlineLevel="2">
      <c r="A217" s="246">
        <v>1043</v>
      </c>
      <c r="B217" s="246" t="s">
        <v>67</v>
      </c>
      <c r="C217" s="649" t="s">
        <v>449</v>
      </c>
      <c r="D217" s="774" t="s">
        <v>450</v>
      </c>
      <c r="E217" s="353" t="s">
        <v>55</v>
      </c>
      <c r="F217" s="360">
        <f>'MEMORIAL DE CALCULO'!H2018</f>
        <v>6</v>
      </c>
      <c r="G217" s="1171"/>
      <c r="H217" s="270">
        <f t="shared" si="106"/>
        <v>0</v>
      </c>
      <c r="I217" s="270">
        <f t="shared" si="107"/>
        <v>0</v>
      </c>
      <c r="J217" s="270">
        <f t="shared" si="108"/>
        <v>0</v>
      </c>
      <c r="K217" s="244"/>
    </row>
    <row r="218" spans="1:11" ht="71.25" outlineLevel="2">
      <c r="A218" s="246">
        <v>94662</v>
      </c>
      <c r="B218" s="247" t="s">
        <v>26</v>
      </c>
      <c r="C218" s="247" t="s">
        <v>451</v>
      </c>
      <c r="D218" s="774" t="s">
        <v>452</v>
      </c>
      <c r="E218" s="353" t="s">
        <v>55</v>
      </c>
      <c r="F218" s="360">
        <f>'MEMORIAL DE CALCULO'!H2020</f>
        <v>6</v>
      </c>
      <c r="G218" s="1171"/>
      <c r="H218" s="270">
        <f t="shared" si="106"/>
        <v>0</v>
      </c>
      <c r="I218" s="874">
        <f t="shared" si="107"/>
        <v>0</v>
      </c>
      <c r="J218" s="874">
        <f t="shared" si="108"/>
        <v>0</v>
      </c>
      <c r="K218" s="244"/>
    </row>
    <row r="219" spans="1:11" ht="42.75" outlineLevel="2">
      <c r="A219" s="246">
        <v>817</v>
      </c>
      <c r="B219" s="247" t="s">
        <v>67</v>
      </c>
      <c r="C219" s="247" t="s">
        <v>453</v>
      </c>
      <c r="D219" s="774" t="s">
        <v>454</v>
      </c>
      <c r="E219" s="803" t="s">
        <v>55</v>
      </c>
      <c r="F219" s="360">
        <f>'MEMORIAL DE CALCULO'!H2022</f>
        <v>6</v>
      </c>
      <c r="G219" s="1171"/>
      <c r="H219" s="270">
        <f t="shared" si="106"/>
        <v>0</v>
      </c>
      <c r="I219" s="874">
        <f t="shared" si="107"/>
        <v>0</v>
      </c>
      <c r="J219" s="874">
        <f t="shared" si="108"/>
        <v>0</v>
      </c>
      <c r="K219" s="244"/>
    </row>
    <row r="220" spans="1:11" ht="28.5" outlineLevel="2">
      <c r="A220" s="246">
        <v>102137</v>
      </c>
      <c r="B220" s="247" t="s">
        <v>26</v>
      </c>
      <c r="C220" s="247" t="s">
        <v>455</v>
      </c>
      <c r="D220" s="795" t="s">
        <v>456</v>
      </c>
      <c r="E220" s="803" t="s">
        <v>55</v>
      </c>
      <c r="F220" s="360">
        <f>'MEMORIAL DE CALCULO'!H2024</f>
        <v>6</v>
      </c>
      <c r="G220" s="1171"/>
      <c r="H220" s="270">
        <f t="shared" si="106"/>
        <v>0</v>
      </c>
      <c r="I220" s="874">
        <f t="shared" si="107"/>
        <v>0</v>
      </c>
      <c r="J220" s="874">
        <f t="shared" si="108"/>
        <v>0</v>
      </c>
      <c r="K220" s="244"/>
    </row>
    <row r="221" spans="1:11" ht="28.5" outlineLevel="2">
      <c r="A221" s="246">
        <v>94798</v>
      </c>
      <c r="B221" s="247" t="s">
        <v>26</v>
      </c>
      <c r="C221" s="247" t="s">
        <v>457</v>
      </c>
      <c r="D221" s="781" t="s">
        <v>458</v>
      </c>
      <c r="E221" s="353" t="s">
        <v>55</v>
      </c>
      <c r="F221" s="360">
        <f>'MEMORIAL DE CALCULO'!H2026</f>
        <v>2</v>
      </c>
      <c r="G221" s="1171"/>
      <c r="H221" s="270">
        <f t="shared" si="106"/>
        <v>0</v>
      </c>
      <c r="I221" s="874">
        <f t="shared" si="107"/>
        <v>0</v>
      </c>
      <c r="J221" s="874">
        <f t="shared" si="108"/>
        <v>0</v>
      </c>
      <c r="K221" s="244"/>
    </row>
    <row r="222" spans="1:11" ht="55.5" customHeight="1" outlineLevel="2">
      <c r="A222" s="246">
        <v>95676</v>
      </c>
      <c r="B222" s="247" t="s">
        <v>26</v>
      </c>
      <c r="C222" s="247" t="s">
        <v>459</v>
      </c>
      <c r="D222" s="781" t="s">
        <v>460</v>
      </c>
      <c r="E222" s="567" t="s">
        <v>55</v>
      </c>
      <c r="F222" s="804">
        <f>'MEMORIAL DE CALCULO'!H2028</f>
        <v>1</v>
      </c>
      <c r="G222" s="1171"/>
      <c r="H222" s="270">
        <f t="shared" si="106"/>
        <v>0</v>
      </c>
      <c r="I222" s="874">
        <f t="shared" si="107"/>
        <v>0</v>
      </c>
      <c r="J222" s="874">
        <f t="shared" si="108"/>
        <v>0</v>
      </c>
      <c r="K222" s="244"/>
    </row>
    <row r="223" spans="1:11" ht="28.5" outlineLevel="2">
      <c r="A223" s="246">
        <v>95674</v>
      </c>
      <c r="B223" s="247" t="s">
        <v>26</v>
      </c>
      <c r="C223" s="247" t="s">
        <v>461</v>
      </c>
      <c r="D223" s="795" t="s">
        <v>462</v>
      </c>
      <c r="E223" s="355" t="s">
        <v>55</v>
      </c>
      <c r="F223" s="805">
        <f>'MEMORIAL DE CALCULO'!H2030</f>
        <v>1</v>
      </c>
      <c r="G223" s="1171"/>
      <c r="H223" s="270">
        <f t="shared" si="106"/>
        <v>0</v>
      </c>
      <c r="I223" s="874">
        <f t="shared" si="107"/>
        <v>0</v>
      </c>
      <c r="J223" s="874">
        <f t="shared" si="108"/>
        <v>0</v>
      </c>
      <c r="K223" s="244"/>
    </row>
    <row r="224" spans="1:11" ht="42.75" outlineLevel="2">
      <c r="A224" s="246">
        <v>96846</v>
      </c>
      <c r="B224" s="247" t="s">
        <v>26</v>
      </c>
      <c r="C224" s="247" t="s">
        <v>463</v>
      </c>
      <c r="D224" s="795" t="s">
        <v>464</v>
      </c>
      <c r="E224" s="353" t="s">
        <v>55</v>
      </c>
      <c r="F224" s="360">
        <f>'MEMORIAL DE CALCULO'!H2032</f>
        <v>4</v>
      </c>
      <c r="G224" s="1171"/>
      <c r="H224" s="270">
        <f t="shared" si="106"/>
        <v>0</v>
      </c>
      <c r="I224" s="874">
        <f t="shared" si="107"/>
        <v>0</v>
      </c>
      <c r="J224" s="874">
        <f t="shared" si="108"/>
        <v>0</v>
      </c>
      <c r="K224" s="244"/>
    </row>
    <row r="225" spans="1:11" ht="42.75" outlineLevel="2">
      <c r="A225" s="246">
        <v>89362</v>
      </c>
      <c r="B225" s="247" t="s">
        <v>26</v>
      </c>
      <c r="C225" s="247" t="s">
        <v>465</v>
      </c>
      <c r="D225" s="795" t="s">
        <v>466</v>
      </c>
      <c r="E225" s="806" t="s">
        <v>55</v>
      </c>
      <c r="F225" s="764">
        <f>'MEMORIAL DE CALCULO'!H2034</f>
        <v>60</v>
      </c>
      <c r="G225" s="1171"/>
      <c r="H225" s="270">
        <f t="shared" si="106"/>
        <v>0</v>
      </c>
      <c r="I225" s="874">
        <f t="shared" si="107"/>
        <v>0</v>
      </c>
      <c r="J225" s="874">
        <f t="shared" si="108"/>
        <v>0</v>
      </c>
      <c r="K225" s="244"/>
    </row>
    <row r="226" spans="1:11" ht="42.75" outlineLevel="2">
      <c r="A226" s="246">
        <v>89367</v>
      </c>
      <c r="B226" s="247" t="s">
        <v>26</v>
      </c>
      <c r="C226" s="247" t="s">
        <v>467</v>
      </c>
      <c r="D226" s="795" t="s">
        <v>468</v>
      </c>
      <c r="E226" s="803" t="s">
        <v>55</v>
      </c>
      <c r="F226" s="360">
        <f>'MEMORIAL DE CALCULO'!H2036</f>
        <v>28</v>
      </c>
      <c r="G226" s="1171"/>
      <c r="H226" s="270">
        <f t="shared" si="106"/>
        <v>0</v>
      </c>
      <c r="I226" s="874">
        <f t="shared" si="107"/>
        <v>0</v>
      </c>
      <c r="J226" s="874">
        <f t="shared" si="108"/>
        <v>0</v>
      </c>
      <c r="K226" s="244"/>
    </row>
    <row r="227" spans="1:11" ht="25.9" customHeight="1" outlineLevel="2">
      <c r="A227" s="246">
        <v>1137</v>
      </c>
      <c r="B227" s="247" t="s">
        <v>67</v>
      </c>
      <c r="C227" s="247" t="s">
        <v>469</v>
      </c>
      <c r="D227" s="795" t="s">
        <v>470</v>
      </c>
      <c r="E227" s="803" t="s">
        <v>55</v>
      </c>
      <c r="F227" s="360">
        <f>'MEMORIAL DE CALCULO'!H2038</f>
        <v>26</v>
      </c>
      <c r="G227" s="1171"/>
      <c r="H227" s="270">
        <f t="shared" si="106"/>
        <v>0</v>
      </c>
      <c r="I227" s="874">
        <f t="shared" si="107"/>
        <v>0</v>
      </c>
      <c r="J227" s="874">
        <f t="shared" si="108"/>
        <v>0</v>
      </c>
      <c r="K227" s="244"/>
    </row>
    <row r="228" spans="1:11" ht="28.5" outlineLevel="2">
      <c r="A228" s="246">
        <v>89501</v>
      </c>
      <c r="B228" s="247" t="s">
        <v>26</v>
      </c>
      <c r="C228" s="247" t="s">
        <v>471</v>
      </c>
      <c r="D228" s="795" t="s">
        <v>472</v>
      </c>
      <c r="E228" s="803" t="s">
        <v>55</v>
      </c>
      <c r="F228" s="360">
        <f>'MEMORIAL DE CALCULO'!H2040</f>
        <v>18</v>
      </c>
      <c r="G228" s="1171"/>
      <c r="H228" s="270">
        <f t="shared" si="106"/>
        <v>0</v>
      </c>
      <c r="I228" s="874">
        <f t="shared" si="107"/>
        <v>0</v>
      </c>
      <c r="J228" s="874">
        <f t="shared" si="108"/>
        <v>0</v>
      </c>
      <c r="K228" s="244"/>
    </row>
    <row r="229" spans="1:11" ht="28.5" outlineLevel="2">
      <c r="A229" s="246">
        <v>89513</v>
      </c>
      <c r="B229" s="247" t="s">
        <v>26</v>
      </c>
      <c r="C229" s="247" t="s">
        <v>473</v>
      </c>
      <c r="D229" s="795" t="s">
        <v>474</v>
      </c>
      <c r="E229" s="353" t="s">
        <v>55</v>
      </c>
      <c r="F229" s="360">
        <f>'MEMORIAL DE CALCULO'!H2042</f>
        <v>12</v>
      </c>
      <c r="G229" s="1171"/>
      <c r="H229" s="270">
        <f t="shared" si="106"/>
        <v>0</v>
      </c>
      <c r="I229" s="874">
        <f t="shared" si="107"/>
        <v>0</v>
      </c>
      <c r="J229" s="874">
        <f t="shared" si="108"/>
        <v>0</v>
      </c>
      <c r="K229" s="244"/>
    </row>
    <row r="230" spans="1:11" ht="42.75" outlineLevel="2">
      <c r="A230" s="246">
        <v>89414</v>
      </c>
      <c r="B230" s="247" t="s">
        <v>26</v>
      </c>
      <c r="C230" s="247" t="s">
        <v>475</v>
      </c>
      <c r="D230" s="795" t="s">
        <v>476</v>
      </c>
      <c r="E230" s="353" t="s">
        <v>55</v>
      </c>
      <c r="F230" s="360">
        <f>'MEMORIAL DE CALCULO'!H2044</f>
        <v>8</v>
      </c>
      <c r="G230" s="1171"/>
      <c r="H230" s="270">
        <f t="shared" si="106"/>
        <v>0</v>
      </c>
      <c r="I230" s="874">
        <f t="shared" si="107"/>
        <v>0</v>
      </c>
      <c r="J230" s="874">
        <f t="shared" si="108"/>
        <v>0</v>
      </c>
      <c r="K230" s="244"/>
    </row>
    <row r="231" spans="1:11" ht="42.75" outlineLevel="2">
      <c r="A231" s="246">
        <v>89530</v>
      </c>
      <c r="B231" s="247" t="s">
        <v>26</v>
      </c>
      <c r="C231" s="247" t="s">
        <v>477</v>
      </c>
      <c r="D231" s="795" t="s">
        <v>478</v>
      </c>
      <c r="E231" s="353" t="s">
        <v>55</v>
      </c>
      <c r="F231" s="360">
        <f>'MEMORIAL DE CALCULO'!H2046</f>
        <v>20</v>
      </c>
      <c r="G231" s="1171"/>
      <c r="H231" s="270">
        <f t="shared" si="106"/>
        <v>0</v>
      </c>
      <c r="I231" s="874">
        <f t="shared" si="107"/>
        <v>0</v>
      </c>
      <c r="J231" s="874">
        <f t="shared" si="108"/>
        <v>0</v>
      </c>
      <c r="K231" s="244"/>
    </row>
    <row r="232" spans="1:11" ht="48.75" customHeight="1" outlineLevel="2">
      <c r="A232" s="246">
        <v>89814</v>
      </c>
      <c r="B232" s="247" t="s">
        <v>26</v>
      </c>
      <c r="C232" s="247" t="s">
        <v>479</v>
      </c>
      <c r="D232" s="795" t="s">
        <v>480</v>
      </c>
      <c r="E232" s="353" t="s">
        <v>55</v>
      </c>
      <c r="F232" s="360">
        <f>'MEMORIAL DE CALCULO'!H2048</f>
        <v>10</v>
      </c>
      <c r="G232" s="1171"/>
      <c r="H232" s="270">
        <f t="shared" si="106"/>
        <v>0</v>
      </c>
      <c r="I232" s="874">
        <f t="shared" si="107"/>
        <v>0</v>
      </c>
      <c r="J232" s="874">
        <f t="shared" si="108"/>
        <v>0</v>
      </c>
      <c r="K232" s="267"/>
    </row>
    <row r="233" spans="1:11" ht="20.45" customHeight="1" outlineLevel="2">
      <c r="A233" s="246">
        <v>1152</v>
      </c>
      <c r="B233" s="247" t="s">
        <v>67</v>
      </c>
      <c r="C233" s="247" t="s">
        <v>481</v>
      </c>
      <c r="D233" s="795" t="s">
        <v>482</v>
      </c>
      <c r="E233" s="353" t="s">
        <v>55</v>
      </c>
      <c r="F233" s="360">
        <f>'MEMORIAL DE CALCULO'!H2050</f>
        <v>10</v>
      </c>
      <c r="G233" s="1171"/>
      <c r="H233" s="270">
        <f t="shared" si="106"/>
        <v>0</v>
      </c>
      <c r="I233" s="874">
        <f t="shared" si="107"/>
        <v>0</v>
      </c>
      <c r="J233" s="874">
        <f t="shared" si="108"/>
        <v>0</v>
      </c>
      <c r="K233" s="244"/>
    </row>
    <row r="234" spans="1:11" ht="20.45" customHeight="1" outlineLevel="2">
      <c r="A234" s="246">
        <v>1151</v>
      </c>
      <c r="B234" s="247" t="s">
        <v>67</v>
      </c>
      <c r="C234" s="247" t="s">
        <v>483</v>
      </c>
      <c r="D234" s="795" t="s">
        <v>484</v>
      </c>
      <c r="E234" s="353" t="s">
        <v>55</v>
      </c>
      <c r="F234" s="360">
        <f>'MEMORIAL DE CALCULO'!H2052</f>
        <v>16</v>
      </c>
      <c r="G234" s="1171"/>
      <c r="H234" s="270">
        <f t="shared" si="106"/>
        <v>0</v>
      </c>
      <c r="I234" s="874">
        <f t="shared" si="107"/>
        <v>0</v>
      </c>
      <c r="J234" s="874">
        <f t="shared" si="108"/>
        <v>0</v>
      </c>
      <c r="K234" s="244"/>
    </row>
    <row r="235" spans="1:11" ht="28.5" outlineLevel="2">
      <c r="A235" s="246">
        <v>1074</v>
      </c>
      <c r="B235" s="247" t="s">
        <v>67</v>
      </c>
      <c r="C235" s="247" t="s">
        <v>485</v>
      </c>
      <c r="D235" s="795" t="s">
        <v>486</v>
      </c>
      <c r="E235" s="353" t="s">
        <v>55</v>
      </c>
      <c r="F235" s="360">
        <f>'MEMORIAL DE CALCULO'!H2054</f>
        <v>6</v>
      </c>
      <c r="G235" s="1171"/>
      <c r="H235" s="270">
        <f t="shared" si="106"/>
        <v>0</v>
      </c>
      <c r="I235" s="874">
        <f t="shared" si="107"/>
        <v>0</v>
      </c>
      <c r="J235" s="874">
        <f t="shared" si="108"/>
        <v>0</v>
      </c>
      <c r="K235" s="244"/>
    </row>
    <row r="236" spans="1:11" ht="28.5" outlineLevel="2">
      <c r="A236" s="246">
        <v>1160</v>
      </c>
      <c r="B236" s="247" t="s">
        <v>67</v>
      </c>
      <c r="C236" s="247" t="s">
        <v>487</v>
      </c>
      <c r="D236" s="795" t="s">
        <v>488</v>
      </c>
      <c r="E236" s="353" t="s">
        <v>55</v>
      </c>
      <c r="F236" s="360">
        <f>'MEMORIAL DE CALCULO'!H2056</f>
        <v>12</v>
      </c>
      <c r="G236" s="1171"/>
      <c r="H236" s="270">
        <f t="shared" si="106"/>
        <v>0</v>
      </c>
      <c r="I236" s="874">
        <f t="shared" si="107"/>
        <v>0</v>
      </c>
      <c r="J236" s="874">
        <f t="shared" si="108"/>
        <v>0</v>
      </c>
      <c r="K236" s="244"/>
    </row>
    <row r="237" spans="1:11" ht="28.5" outlineLevel="2">
      <c r="A237" s="246">
        <v>1159</v>
      </c>
      <c r="B237" s="247" t="s">
        <v>67</v>
      </c>
      <c r="C237" s="247" t="s">
        <v>489</v>
      </c>
      <c r="D237" s="795" t="s">
        <v>490</v>
      </c>
      <c r="E237" s="353" t="s">
        <v>55</v>
      </c>
      <c r="F237" s="360">
        <f>'MEMORIAL DE CALCULO'!H2058</f>
        <v>18</v>
      </c>
      <c r="G237" s="1171"/>
      <c r="H237" s="270">
        <f t="shared" si="106"/>
        <v>0</v>
      </c>
      <c r="I237" s="874">
        <f t="shared" si="107"/>
        <v>0</v>
      </c>
      <c r="J237" s="874">
        <f t="shared" si="108"/>
        <v>0</v>
      </c>
      <c r="K237" s="244"/>
    </row>
    <row r="238" spans="1:11" ht="28.5" outlineLevel="2">
      <c r="A238" s="246">
        <v>1161</v>
      </c>
      <c r="B238" s="247" t="s">
        <v>67</v>
      </c>
      <c r="C238" s="247" t="s">
        <v>491</v>
      </c>
      <c r="D238" s="795" t="s">
        <v>492</v>
      </c>
      <c r="E238" s="353" t="s">
        <v>55</v>
      </c>
      <c r="F238" s="360">
        <f>'MEMORIAL DE CALCULO'!H2060</f>
        <v>16</v>
      </c>
      <c r="G238" s="1171"/>
      <c r="H238" s="270">
        <f t="shared" si="106"/>
        <v>0</v>
      </c>
      <c r="I238" s="874">
        <f t="shared" si="107"/>
        <v>0</v>
      </c>
      <c r="J238" s="874">
        <f t="shared" si="108"/>
        <v>0</v>
      </c>
      <c r="K238" s="244"/>
    </row>
    <row r="239" spans="1:11" ht="28.5" outlineLevel="2">
      <c r="A239" s="246">
        <v>9500</v>
      </c>
      <c r="B239" s="247" t="s">
        <v>67</v>
      </c>
      <c r="C239" s="247" t="s">
        <v>493</v>
      </c>
      <c r="D239" s="781" t="s">
        <v>494</v>
      </c>
      <c r="E239" s="567" t="s">
        <v>55</v>
      </c>
      <c r="F239" s="360">
        <f>'MEMORIAL DE CALCULO'!H2062</f>
        <v>18</v>
      </c>
      <c r="G239" s="1171"/>
      <c r="H239" s="270">
        <f t="shared" si="106"/>
        <v>0</v>
      </c>
      <c r="I239" s="874">
        <f t="shared" si="107"/>
        <v>0</v>
      </c>
      <c r="J239" s="874">
        <f t="shared" si="108"/>
        <v>0</v>
      </c>
      <c r="K239" s="244"/>
    </row>
    <row r="240" spans="1:11" ht="23.45" customHeight="1" outlineLevel="2">
      <c r="A240" s="246">
        <v>3201</v>
      </c>
      <c r="B240" s="246" t="s">
        <v>67</v>
      </c>
      <c r="C240" s="649" t="s">
        <v>495</v>
      </c>
      <c r="D240" s="807" t="s">
        <v>496</v>
      </c>
      <c r="E240" s="353" t="s">
        <v>55</v>
      </c>
      <c r="F240" s="804">
        <f>'MEMORIAL DE CALCULO'!H2064</f>
        <v>12</v>
      </c>
      <c r="G240" s="1171"/>
      <c r="H240" s="270">
        <f t="shared" si="106"/>
        <v>0</v>
      </c>
      <c r="I240" s="270">
        <f t="shared" si="107"/>
        <v>0</v>
      </c>
      <c r="J240" s="270">
        <f t="shared" si="108"/>
        <v>0</v>
      </c>
      <c r="K240" s="244"/>
    </row>
    <row r="241" spans="1:11" ht="28.5" outlineLevel="2">
      <c r="A241" s="246">
        <v>90371</v>
      </c>
      <c r="B241" s="247" t="s">
        <v>26</v>
      </c>
      <c r="C241" s="247" t="s">
        <v>497</v>
      </c>
      <c r="D241" s="808" t="s">
        <v>498</v>
      </c>
      <c r="E241" s="353" t="s">
        <v>55</v>
      </c>
      <c r="F241" s="809">
        <f>'MEMORIAL DE CALCULO'!H2066</f>
        <v>10</v>
      </c>
      <c r="G241" s="1171"/>
      <c r="H241" s="270">
        <f t="shared" si="106"/>
        <v>0</v>
      </c>
      <c r="I241" s="874">
        <f t="shared" si="107"/>
        <v>0</v>
      </c>
      <c r="J241" s="874">
        <f t="shared" si="108"/>
        <v>0</v>
      </c>
      <c r="K241" s="244"/>
    </row>
    <row r="242" spans="1:11" ht="57" outlineLevel="2">
      <c r="A242" s="246">
        <v>94498</v>
      </c>
      <c r="B242" s="247" t="s">
        <v>26</v>
      </c>
      <c r="C242" s="247" t="s">
        <v>499</v>
      </c>
      <c r="D242" s="810" t="s">
        <v>500</v>
      </c>
      <c r="E242" s="353" t="s">
        <v>55</v>
      </c>
      <c r="F242" s="809">
        <f>'MEMORIAL DE CALCULO'!H2068</f>
        <v>6</v>
      </c>
      <c r="G242" s="1171"/>
      <c r="H242" s="270">
        <f t="shared" si="106"/>
        <v>0</v>
      </c>
      <c r="I242" s="874">
        <f t="shared" si="107"/>
        <v>0</v>
      </c>
      <c r="J242" s="874">
        <f t="shared" si="108"/>
        <v>0</v>
      </c>
      <c r="K242" s="244"/>
    </row>
    <row r="243" spans="1:11" ht="28.5" outlineLevel="2">
      <c r="A243" s="246">
        <v>7594</v>
      </c>
      <c r="B243" s="247" t="s">
        <v>67</v>
      </c>
      <c r="C243" s="247" t="s">
        <v>501</v>
      </c>
      <c r="D243" s="811" t="s">
        <v>502</v>
      </c>
      <c r="E243" s="353" t="s">
        <v>55</v>
      </c>
      <c r="F243" s="809">
        <f>'MEMORIAL DE CALCULO'!H2070</f>
        <v>6</v>
      </c>
      <c r="G243" s="1171"/>
      <c r="H243" s="270">
        <f t="shared" si="106"/>
        <v>0</v>
      </c>
      <c r="I243" s="874">
        <f t="shared" si="107"/>
        <v>0</v>
      </c>
      <c r="J243" s="874">
        <f t="shared" si="108"/>
        <v>0</v>
      </c>
      <c r="K243" s="244"/>
    </row>
    <row r="244" spans="1:11" ht="37.5" customHeight="1" outlineLevel="2">
      <c r="A244" s="246">
        <v>89395</v>
      </c>
      <c r="B244" s="247" t="s">
        <v>26</v>
      </c>
      <c r="C244" s="247" t="s">
        <v>503</v>
      </c>
      <c r="D244" s="811" t="s">
        <v>504</v>
      </c>
      <c r="E244" s="353" t="s">
        <v>55</v>
      </c>
      <c r="F244" s="809">
        <f>'MEMORIAL DE CALCULO'!H2072</f>
        <v>3</v>
      </c>
      <c r="G244" s="1171"/>
      <c r="H244" s="270">
        <f t="shared" si="106"/>
        <v>0</v>
      </c>
      <c r="I244" s="874">
        <f t="shared" si="107"/>
        <v>0</v>
      </c>
      <c r="J244" s="874">
        <f t="shared" si="108"/>
        <v>0</v>
      </c>
      <c r="K244" s="244"/>
    </row>
    <row r="245" spans="1:11" ht="40.5" customHeight="1" outlineLevel="2">
      <c r="A245" s="246">
        <v>89398</v>
      </c>
      <c r="B245" s="247" t="s">
        <v>26</v>
      </c>
      <c r="C245" s="247" t="s">
        <v>505</v>
      </c>
      <c r="D245" s="795" t="s">
        <v>506</v>
      </c>
      <c r="E245" s="353" t="s">
        <v>55</v>
      </c>
      <c r="F245" s="809">
        <f>'MEMORIAL DE CALCULO'!H2074</f>
        <v>12</v>
      </c>
      <c r="G245" s="1171"/>
      <c r="H245" s="270">
        <f t="shared" si="106"/>
        <v>0</v>
      </c>
      <c r="I245" s="874">
        <f t="shared" si="107"/>
        <v>0</v>
      </c>
      <c r="J245" s="874">
        <f t="shared" si="108"/>
        <v>0</v>
      </c>
      <c r="K245" s="244"/>
    </row>
    <row r="246" spans="1:11" ht="21" customHeight="1" outlineLevel="2">
      <c r="A246" s="246">
        <v>1170</v>
      </c>
      <c r="B246" s="247" t="s">
        <v>67</v>
      </c>
      <c r="C246" s="247" t="s">
        <v>507</v>
      </c>
      <c r="D246" s="795" t="s">
        <v>508</v>
      </c>
      <c r="E246" s="353" t="s">
        <v>55</v>
      </c>
      <c r="F246" s="809">
        <f>'MEMORIAL DE CALCULO'!H2076</f>
        <v>6</v>
      </c>
      <c r="G246" s="1171"/>
      <c r="H246" s="270">
        <f t="shared" si="106"/>
        <v>0</v>
      </c>
      <c r="I246" s="874">
        <f t="shared" si="107"/>
        <v>0</v>
      </c>
      <c r="J246" s="874">
        <f t="shared" si="108"/>
        <v>0</v>
      </c>
      <c r="K246" s="244"/>
    </row>
    <row r="247" spans="1:11" outlineLevel="2">
      <c r="A247" s="246" t="s">
        <v>509</v>
      </c>
      <c r="B247" s="247" t="s">
        <v>26</v>
      </c>
      <c r="C247" s="247" t="s">
        <v>510</v>
      </c>
      <c r="D247" s="781" t="s">
        <v>511</v>
      </c>
      <c r="E247" s="567" t="s">
        <v>55</v>
      </c>
      <c r="F247" s="360">
        <f>'MEMORIAL DE CALCULO'!H2078</f>
        <v>12</v>
      </c>
      <c r="G247" s="1171"/>
      <c r="H247" s="270">
        <f t="shared" si="106"/>
        <v>0</v>
      </c>
      <c r="I247" s="874">
        <f t="shared" si="107"/>
        <v>0</v>
      </c>
      <c r="J247" s="874">
        <f t="shared" si="108"/>
        <v>0</v>
      </c>
      <c r="K247" s="244"/>
    </row>
    <row r="248" spans="1:11" outlineLevel="2">
      <c r="A248" s="246">
        <v>1171</v>
      </c>
      <c r="B248" s="247" t="s">
        <v>67</v>
      </c>
      <c r="C248" s="247" t="s">
        <v>512</v>
      </c>
      <c r="D248" s="810" t="s">
        <v>513</v>
      </c>
      <c r="E248" s="567" t="s">
        <v>55</v>
      </c>
      <c r="F248" s="360">
        <f>'MEMORIAL DE CALCULO'!H2080</f>
        <v>6</v>
      </c>
      <c r="G248" s="1171"/>
      <c r="H248" s="270">
        <f t="shared" si="106"/>
        <v>0</v>
      </c>
      <c r="I248" s="874">
        <f t="shared" si="107"/>
        <v>0</v>
      </c>
      <c r="J248" s="874">
        <f t="shared" si="108"/>
        <v>0</v>
      </c>
      <c r="K248" s="244"/>
    </row>
    <row r="249" spans="1:11" outlineLevel="2">
      <c r="A249" s="246">
        <v>1172</v>
      </c>
      <c r="B249" s="247" t="s">
        <v>67</v>
      </c>
      <c r="C249" s="247" t="s">
        <v>514</v>
      </c>
      <c r="D249" s="795" t="s">
        <v>515</v>
      </c>
      <c r="E249" s="567" t="s">
        <v>55</v>
      </c>
      <c r="F249" s="360">
        <f>'MEMORIAL DE CALCULO'!H2082</f>
        <v>8</v>
      </c>
      <c r="G249" s="1171"/>
      <c r="H249" s="270">
        <f t="shared" si="106"/>
        <v>0</v>
      </c>
      <c r="I249" s="874">
        <f t="shared" si="107"/>
        <v>0</v>
      </c>
      <c r="J249" s="874">
        <f t="shared" si="108"/>
        <v>0</v>
      </c>
      <c r="K249" s="244"/>
    </row>
    <row r="250" spans="1:11" outlineLevel="2">
      <c r="A250" s="246">
        <v>1173</v>
      </c>
      <c r="B250" s="247" t="s">
        <v>67</v>
      </c>
      <c r="C250" s="247" t="s">
        <v>516</v>
      </c>
      <c r="D250" s="781" t="s">
        <v>517</v>
      </c>
      <c r="E250" s="567" t="s">
        <v>55</v>
      </c>
      <c r="F250" s="360">
        <f>'MEMORIAL DE CALCULO'!H2084</f>
        <v>4</v>
      </c>
      <c r="G250" s="1171"/>
      <c r="H250" s="270">
        <f t="shared" si="106"/>
        <v>0</v>
      </c>
      <c r="I250" s="874">
        <f t="shared" si="107"/>
        <v>0</v>
      </c>
      <c r="J250" s="874">
        <f t="shared" si="108"/>
        <v>0</v>
      </c>
      <c r="K250" s="244"/>
    </row>
    <row r="251" spans="1:11" outlineLevel="2">
      <c r="A251" s="246">
        <v>1295</v>
      </c>
      <c r="B251" s="247" t="s">
        <v>67</v>
      </c>
      <c r="C251" s="247" t="s">
        <v>518</v>
      </c>
      <c r="D251" s="781" t="str">
        <f>UPPER("Junção de pvc rígido roscável diâm = 1 - Rev01")</f>
        <v>JUNÇÃO DE PVC RÍGIDO ROSCÁVEL DIÂM = 1 - REV01</v>
      </c>
      <c r="E251" s="567" t="s">
        <v>55</v>
      </c>
      <c r="F251" s="360">
        <f>'MEMORIAL DE CALCULO'!H2086</f>
        <v>4</v>
      </c>
      <c r="G251" s="1171"/>
      <c r="H251" s="270">
        <f t="shared" si="106"/>
        <v>0</v>
      </c>
      <c r="I251" s="874">
        <f t="shared" si="107"/>
        <v>0</v>
      </c>
      <c r="J251" s="874">
        <f t="shared" si="108"/>
        <v>0</v>
      </c>
      <c r="K251" s="244"/>
    </row>
    <row r="252" spans="1:11" ht="28.5" outlineLevel="2">
      <c r="A252" s="246">
        <v>89356</v>
      </c>
      <c r="B252" s="247" t="s">
        <v>26</v>
      </c>
      <c r="C252" s="247" t="s">
        <v>519</v>
      </c>
      <c r="D252" s="795" t="s">
        <v>520</v>
      </c>
      <c r="E252" s="353" t="s">
        <v>246</v>
      </c>
      <c r="F252" s="360">
        <f>'MEMORIAL DE CALCULO'!H2088</f>
        <v>380.87</v>
      </c>
      <c r="G252" s="1171"/>
      <c r="H252" s="270">
        <f t="shared" si="106"/>
        <v>0</v>
      </c>
      <c r="I252" s="874">
        <f t="shared" si="107"/>
        <v>0</v>
      </c>
      <c r="J252" s="874">
        <f t="shared" si="108"/>
        <v>0</v>
      </c>
      <c r="K252" s="244"/>
    </row>
    <row r="253" spans="1:11" ht="28.5" outlineLevel="2">
      <c r="A253" s="246">
        <v>89357</v>
      </c>
      <c r="B253" s="247" t="s">
        <v>26</v>
      </c>
      <c r="C253" s="247" t="s">
        <v>521</v>
      </c>
      <c r="D253" s="795" t="s">
        <v>522</v>
      </c>
      <c r="E253" s="353" t="s">
        <v>246</v>
      </c>
      <c r="F253" s="360">
        <f>'MEMORIAL DE CALCULO'!H2090</f>
        <v>76.5</v>
      </c>
      <c r="G253" s="1171"/>
      <c r="H253" s="270">
        <f t="shared" si="106"/>
        <v>0</v>
      </c>
      <c r="I253" s="874">
        <f t="shared" si="107"/>
        <v>0</v>
      </c>
      <c r="J253" s="874">
        <f t="shared" si="108"/>
        <v>0</v>
      </c>
      <c r="K253" s="244"/>
    </row>
    <row r="254" spans="1:11" ht="28.5" outlineLevel="2">
      <c r="A254" s="246">
        <v>89448</v>
      </c>
      <c r="B254" s="247" t="s">
        <v>26</v>
      </c>
      <c r="C254" s="247" t="s">
        <v>523</v>
      </c>
      <c r="D254" s="795" t="s">
        <v>524</v>
      </c>
      <c r="E254" s="353" t="s">
        <v>246</v>
      </c>
      <c r="F254" s="360">
        <f>'MEMORIAL DE CALCULO'!H2092</f>
        <v>42.68</v>
      </c>
      <c r="G254" s="1171"/>
      <c r="H254" s="270">
        <f t="shared" si="106"/>
        <v>0</v>
      </c>
      <c r="I254" s="874">
        <f t="shared" si="107"/>
        <v>0</v>
      </c>
      <c r="J254" s="874">
        <f t="shared" si="108"/>
        <v>0</v>
      </c>
      <c r="K254" s="244"/>
    </row>
    <row r="255" spans="1:11" ht="28.5" outlineLevel="2">
      <c r="A255" s="246">
        <v>89449</v>
      </c>
      <c r="B255" s="247" t="s">
        <v>26</v>
      </c>
      <c r="C255" s="247" t="s">
        <v>525</v>
      </c>
      <c r="D255" s="795" t="s">
        <v>526</v>
      </c>
      <c r="E255" s="353" t="s">
        <v>246</v>
      </c>
      <c r="F255" s="360">
        <f>'MEMORIAL DE CALCULO'!H2094</f>
        <v>34.380000000000003</v>
      </c>
      <c r="G255" s="1171"/>
      <c r="H255" s="270">
        <f t="shared" si="106"/>
        <v>0</v>
      </c>
      <c r="I255" s="874">
        <f t="shared" si="107"/>
        <v>0</v>
      </c>
      <c r="J255" s="874">
        <f t="shared" si="108"/>
        <v>0</v>
      </c>
      <c r="K255" s="244"/>
    </row>
    <row r="256" spans="1:11" ht="34.5" customHeight="1" outlineLevel="2">
      <c r="A256" s="246">
        <v>89450</v>
      </c>
      <c r="B256" s="247" t="s">
        <v>26</v>
      </c>
      <c r="C256" s="247" t="s">
        <v>527</v>
      </c>
      <c r="D256" s="795" t="s">
        <v>528</v>
      </c>
      <c r="E256" s="353" t="s">
        <v>246</v>
      </c>
      <c r="F256" s="360">
        <f>'MEMORIAL DE CALCULO'!H2096</f>
        <v>27.62</v>
      </c>
      <c r="G256" s="1171"/>
      <c r="H256" s="270">
        <f t="shared" si="106"/>
        <v>0</v>
      </c>
      <c r="I256" s="874">
        <f t="shared" si="107"/>
        <v>0</v>
      </c>
      <c r="J256" s="874">
        <f t="shared" si="108"/>
        <v>0</v>
      </c>
      <c r="K256" s="244"/>
    </row>
    <row r="257" spans="1:11" ht="28.5" outlineLevel="2">
      <c r="A257" s="246">
        <v>1033</v>
      </c>
      <c r="B257" s="247" t="s">
        <v>67</v>
      </c>
      <c r="C257" s="649" t="s">
        <v>529</v>
      </c>
      <c r="D257" s="811" t="s">
        <v>530</v>
      </c>
      <c r="E257" s="355" t="s">
        <v>246</v>
      </c>
      <c r="F257" s="771">
        <f>'MEMORIAL DE CALCULO'!H2098</f>
        <v>22.98</v>
      </c>
      <c r="G257" s="1171"/>
      <c r="H257" s="270">
        <f t="shared" si="106"/>
        <v>0</v>
      </c>
      <c r="I257" s="874">
        <f t="shared" si="107"/>
        <v>0</v>
      </c>
      <c r="J257" s="874">
        <f t="shared" si="108"/>
        <v>0</v>
      </c>
      <c r="K257" s="320"/>
    </row>
    <row r="258" spans="1:11" outlineLevel="2">
      <c r="A258" s="246" t="s">
        <v>531</v>
      </c>
      <c r="B258" s="247"/>
      <c r="C258" s="649" t="s">
        <v>532</v>
      </c>
      <c r="D258" s="812" t="s">
        <v>533</v>
      </c>
      <c r="E258" s="797" t="s">
        <v>55</v>
      </c>
      <c r="F258" s="813">
        <f>'MEMORIAL DE CALCULO'!H2100</f>
        <v>2</v>
      </c>
      <c r="G258" s="1171"/>
      <c r="H258" s="270">
        <f t="shared" si="106"/>
        <v>0</v>
      </c>
      <c r="I258" s="874">
        <f>F258*G258</f>
        <v>0</v>
      </c>
      <c r="J258" s="874">
        <f>H258*F258</f>
        <v>0</v>
      </c>
      <c r="K258" s="320"/>
    </row>
    <row r="259" spans="1:11" s="44" customFormat="1" ht="27" customHeight="1" outlineLevel="1">
      <c r="A259" s="257"/>
      <c r="B259" s="258"/>
      <c r="C259" s="262" t="s">
        <v>534</v>
      </c>
      <c r="D259" s="790" t="s">
        <v>535</v>
      </c>
      <c r="E259" s="814"/>
      <c r="F259" s="792"/>
      <c r="G259" s="793"/>
      <c r="H259" s="48"/>
      <c r="I259" s="274">
        <f>SUM(I260:I297)</f>
        <v>0</v>
      </c>
      <c r="J259" s="274">
        <f>SUM(J260:J297)</f>
        <v>0</v>
      </c>
      <c r="K259" s="49" t="e">
        <f>J259/$J$685</f>
        <v>#DIV/0!</v>
      </c>
    </row>
    <row r="260" spans="1:11" ht="45.75" customHeight="1" outlineLevel="2">
      <c r="A260" s="246">
        <v>89810</v>
      </c>
      <c r="B260" s="247" t="s">
        <v>26</v>
      </c>
      <c r="C260" s="247" t="s">
        <v>536</v>
      </c>
      <c r="D260" s="781" t="s">
        <v>537</v>
      </c>
      <c r="E260" s="567" t="s">
        <v>96</v>
      </c>
      <c r="F260" s="804">
        <f>'MEMORIAL DE CALCULO'!H2104</f>
        <v>12</v>
      </c>
      <c r="G260" s="1171"/>
      <c r="H260" s="270">
        <f t="shared" si="106"/>
        <v>0</v>
      </c>
      <c r="I260" s="874">
        <f t="shared" ref="I260:I293" si="109">F260*G260</f>
        <v>0</v>
      </c>
      <c r="J260" s="874">
        <f t="shared" ref="J260:J293" si="110">H260*F260</f>
        <v>0</v>
      </c>
      <c r="K260" s="566"/>
    </row>
    <row r="261" spans="1:11" ht="53.25" customHeight="1" outlineLevel="2">
      <c r="A261" s="246">
        <v>89726</v>
      </c>
      <c r="B261" s="247" t="s">
        <v>26</v>
      </c>
      <c r="C261" s="247" t="s">
        <v>538</v>
      </c>
      <c r="D261" s="795" t="s">
        <v>539</v>
      </c>
      <c r="E261" s="353" t="s">
        <v>96</v>
      </c>
      <c r="F261" s="809">
        <f>'MEMORIAL DE CALCULO'!H2106</f>
        <v>21</v>
      </c>
      <c r="G261" s="1171"/>
      <c r="H261" s="270">
        <f t="shared" si="106"/>
        <v>0</v>
      </c>
      <c r="I261" s="874">
        <f t="shared" si="109"/>
        <v>0</v>
      </c>
      <c r="J261" s="874">
        <f t="shared" si="110"/>
        <v>0</v>
      </c>
      <c r="K261" s="244"/>
    </row>
    <row r="262" spans="1:11" ht="44.25" customHeight="1" outlineLevel="2">
      <c r="A262" s="253">
        <v>89732</v>
      </c>
      <c r="B262" s="254" t="s">
        <v>26</v>
      </c>
      <c r="C262" s="247" t="s">
        <v>540</v>
      </c>
      <c r="D262" s="811" t="s">
        <v>541</v>
      </c>
      <c r="E262" s="355" t="s">
        <v>96</v>
      </c>
      <c r="F262" s="805">
        <f>'MEMORIAL DE CALCULO'!H2108</f>
        <v>31</v>
      </c>
      <c r="G262" s="1171"/>
      <c r="H262" s="270">
        <f t="shared" si="106"/>
        <v>0</v>
      </c>
      <c r="I262" s="874">
        <f t="shared" si="109"/>
        <v>0</v>
      </c>
      <c r="J262" s="874">
        <f t="shared" si="110"/>
        <v>0</v>
      </c>
      <c r="K262" s="244"/>
    </row>
    <row r="263" spans="1:11" ht="44.25" customHeight="1" outlineLevel="2">
      <c r="A263" s="253">
        <v>103042</v>
      </c>
      <c r="B263" s="254" t="s">
        <v>26</v>
      </c>
      <c r="C263" s="247" t="s">
        <v>542</v>
      </c>
      <c r="D263" s="795" t="s">
        <v>543</v>
      </c>
      <c r="E263" s="353" t="s">
        <v>96</v>
      </c>
      <c r="F263" s="360">
        <f>'MEMORIAL DE CALCULO'!H2110</f>
        <v>1</v>
      </c>
      <c r="G263" s="1171"/>
      <c r="H263" s="270">
        <f t="shared" si="106"/>
        <v>0</v>
      </c>
      <c r="I263" s="874">
        <f t="shared" si="109"/>
        <v>0</v>
      </c>
      <c r="J263" s="874">
        <f t="shared" si="110"/>
        <v>0</v>
      </c>
      <c r="K263" s="244"/>
    </row>
    <row r="264" spans="1:11" ht="66" customHeight="1" outlineLevel="2">
      <c r="A264" s="253">
        <v>89724</v>
      </c>
      <c r="B264" s="254" t="s">
        <v>26</v>
      </c>
      <c r="C264" s="247" t="s">
        <v>544</v>
      </c>
      <c r="D264" s="781" t="s">
        <v>545</v>
      </c>
      <c r="E264" s="815" t="s">
        <v>96</v>
      </c>
      <c r="F264" s="782">
        <f>'MEMORIAL DE CALCULO'!H2112</f>
        <v>77</v>
      </c>
      <c r="G264" s="1171"/>
      <c r="H264" s="270">
        <f t="shared" si="106"/>
        <v>0</v>
      </c>
      <c r="I264" s="874">
        <f t="shared" si="109"/>
        <v>0</v>
      </c>
      <c r="J264" s="874">
        <f t="shared" si="110"/>
        <v>0</v>
      </c>
      <c r="K264" s="244"/>
    </row>
    <row r="265" spans="1:11" ht="42" customHeight="1" outlineLevel="2">
      <c r="A265" s="253">
        <v>1672</v>
      </c>
      <c r="B265" s="254" t="s">
        <v>67</v>
      </c>
      <c r="C265" s="247" t="s">
        <v>546</v>
      </c>
      <c r="D265" s="795" t="s">
        <v>547</v>
      </c>
      <c r="E265" s="803" t="s">
        <v>96</v>
      </c>
      <c r="F265" s="360">
        <f>'MEMORIAL DE CALCULO'!H2114</f>
        <v>10</v>
      </c>
      <c r="G265" s="1171"/>
      <c r="H265" s="270">
        <f t="shared" si="106"/>
        <v>0</v>
      </c>
      <c r="I265" s="874">
        <f t="shared" si="109"/>
        <v>0</v>
      </c>
      <c r="J265" s="874">
        <f t="shared" si="110"/>
        <v>0</v>
      </c>
      <c r="K265" s="244"/>
    </row>
    <row r="266" spans="1:11" ht="45.75" customHeight="1" outlineLevel="2">
      <c r="A266" s="253">
        <v>89731</v>
      </c>
      <c r="B266" s="254" t="s">
        <v>26</v>
      </c>
      <c r="C266" s="247" t="s">
        <v>548</v>
      </c>
      <c r="D266" s="795" t="s">
        <v>549</v>
      </c>
      <c r="E266" s="803" t="s">
        <v>96</v>
      </c>
      <c r="F266" s="360">
        <f>'MEMORIAL DE CALCULO'!H2116</f>
        <v>23</v>
      </c>
      <c r="G266" s="1171"/>
      <c r="H266" s="270">
        <f t="shared" si="106"/>
        <v>0</v>
      </c>
      <c r="I266" s="874">
        <f t="shared" si="109"/>
        <v>0</v>
      </c>
      <c r="J266" s="874">
        <f t="shared" si="110"/>
        <v>0</v>
      </c>
      <c r="K266" s="244"/>
    </row>
    <row r="267" spans="1:11" ht="45.75" customHeight="1" outlineLevel="2">
      <c r="A267" s="253">
        <v>89854</v>
      </c>
      <c r="B267" s="254" t="s">
        <v>26</v>
      </c>
      <c r="C267" s="247" t="s">
        <v>550</v>
      </c>
      <c r="D267" s="795" t="s">
        <v>551</v>
      </c>
      <c r="E267" s="803" t="s">
        <v>96</v>
      </c>
      <c r="F267" s="360">
        <f>'MEMORIAL DE CALCULO'!H2118</f>
        <v>4</v>
      </c>
      <c r="G267" s="1171"/>
      <c r="H267" s="270">
        <f t="shared" si="106"/>
        <v>0</v>
      </c>
      <c r="I267" s="874">
        <f t="shared" si="109"/>
        <v>0</v>
      </c>
      <c r="J267" s="874">
        <f t="shared" si="110"/>
        <v>0</v>
      </c>
      <c r="K267" s="244"/>
    </row>
    <row r="268" spans="1:11" ht="54" customHeight="1" outlineLevel="2">
      <c r="A268" s="253">
        <v>89744</v>
      </c>
      <c r="B268" s="254" t="s">
        <v>26</v>
      </c>
      <c r="C268" s="247" t="s">
        <v>552</v>
      </c>
      <c r="D268" s="795" t="s">
        <v>553</v>
      </c>
      <c r="E268" s="803" t="s">
        <v>96</v>
      </c>
      <c r="F268" s="360">
        <f>'MEMORIAL DE CALCULO'!H2120</f>
        <v>68</v>
      </c>
      <c r="G268" s="1171"/>
      <c r="H268" s="270">
        <f t="shared" si="106"/>
        <v>0</v>
      </c>
      <c r="I268" s="874">
        <f t="shared" si="109"/>
        <v>0</v>
      </c>
      <c r="J268" s="874">
        <f t="shared" si="110"/>
        <v>0</v>
      </c>
      <c r="K268" s="244"/>
    </row>
    <row r="269" spans="1:11" ht="57" outlineLevel="2">
      <c r="A269" s="253">
        <v>89811</v>
      </c>
      <c r="B269" s="254" t="s">
        <v>26</v>
      </c>
      <c r="C269" s="247" t="s">
        <v>554</v>
      </c>
      <c r="D269" s="795" t="s">
        <v>555</v>
      </c>
      <c r="E269" s="803" t="s">
        <v>96</v>
      </c>
      <c r="F269" s="360">
        <f>'MEMORIAL DE CALCULO'!H2122</f>
        <v>2</v>
      </c>
      <c r="G269" s="1171"/>
      <c r="H269" s="270">
        <f t="shared" si="106"/>
        <v>0</v>
      </c>
      <c r="I269" s="874">
        <f t="shared" si="109"/>
        <v>0</v>
      </c>
      <c r="J269" s="874">
        <f t="shared" si="110"/>
        <v>0</v>
      </c>
      <c r="K269" s="244"/>
    </row>
    <row r="270" spans="1:11" ht="28.9" customHeight="1" outlineLevel="2">
      <c r="A270" s="253">
        <v>1548</v>
      </c>
      <c r="B270" s="254" t="s">
        <v>67</v>
      </c>
      <c r="C270" s="247" t="s">
        <v>556</v>
      </c>
      <c r="D270" s="795" t="s">
        <v>557</v>
      </c>
      <c r="E270" s="803" t="s">
        <v>96</v>
      </c>
      <c r="F270" s="360">
        <f>'MEMORIAL DE CALCULO'!H2124</f>
        <v>2</v>
      </c>
      <c r="G270" s="1171"/>
      <c r="H270" s="270">
        <f t="shared" si="106"/>
        <v>0</v>
      </c>
      <c r="I270" s="874">
        <f t="shared" si="109"/>
        <v>0</v>
      </c>
      <c r="J270" s="874">
        <f t="shared" si="110"/>
        <v>0</v>
      </c>
      <c r="K270" s="244"/>
    </row>
    <row r="271" spans="1:11" ht="33.75" customHeight="1" outlineLevel="2">
      <c r="A271" s="253">
        <v>10317</v>
      </c>
      <c r="B271" s="254" t="s">
        <v>67</v>
      </c>
      <c r="C271" s="247" t="s">
        <v>558</v>
      </c>
      <c r="D271" s="795" t="s">
        <v>559</v>
      </c>
      <c r="E271" s="803" t="s">
        <v>96</v>
      </c>
      <c r="F271" s="360">
        <f>'MEMORIAL DE CALCULO'!H2126</f>
        <v>36</v>
      </c>
      <c r="G271" s="1171"/>
      <c r="H271" s="270">
        <f t="shared" si="106"/>
        <v>0</v>
      </c>
      <c r="I271" s="874">
        <f t="shared" si="109"/>
        <v>0</v>
      </c>
      <c r="J271" s="874">
        <f t="shared" si="110"/>
        <v>0</v>
      </c>
      <c r="K271" s="244"/>
    </row>
    <row r="272" spans="1:11" ht="28.5" outlineLevel="2">
      <c r="A272" s="253">
        <v>1562</v>
      </c>
      <c r="B272" s="254" t="s">
        <v>67</v>
      </c>
      <c r="C272" s="247" t="s">
        <v>560</v>
      </c>
      <c r="D272" s="795" t="s">
        <v>561</v>
      </c>
      <c r="E272" s="803" t="s">
        <v>96</v>
      </c>
      <c r="F272" s="360">
        <f>'MEMORIAL DE CALCULO'!H2128</f>
        <v>2</v>
      </c>
      <c r="G272" s="1171"/>
      <c r="H272" s="270">
        <f t="shared" si="106"/>
        <v>0</v>
      </c>
      <c r="I272" s="874">
        <f t="shared" si="109"/>
        <v>0</v>
      </c>
      <c r="J272" s="874">
        <f t="shared" si="110"/>
        <v>0</v>
      </c>
      <c r="K272" s="244"/>
    </row>
    <row r="273" spans="1:11" ht="37.5" customHeight="1" outlineLevel="2">
      <c r="A273" s="253">
        <v>1636</v>
      </c>
      <c r="B273" s="254" t="s">
        <v>67</v>
      </c>
      <c r="C273" s="247" t="s">
        <v>562</v>
      </c>
      <c r="D273" s="812" t="s">
        <v>563</v>
      </c>
      <c r="E273" s="803" t="s">
        <v>96</v>
      </c>
      <c r="F273" s="360">
        <f>'MEMORIAL DE CALCULO'!H2130</f>
        <v>13</v>
      </c>
      <c r="G273" s="1171"/>
      <c r="H273" s="270">
        <f t="shared" si="106"/>
        <v>0</v>
      </c>
      <c r="I273" s="874">
        <f t="shared" si="109"/>
        <v>0</v>
      </c>
      <c r="J273" s="874">
        <f t="shared" si="110"/>
        <v>0</v>
      </c>
      <c r="K273" s="244"/>
    </row>
    <row r="274" spans="1:11" ht="57.75" customHeight="1" outlineLevel="2">
      <c r="A274" s="253">
        <v>89783</v>
      </c>
      <c r="B274" s="254" t="s">
        <v>26</v>
      </c>
      <c r="C274" s="247" t="s">
        <v>564</v>
      </c>
      <c r="D274" s="795" t="s">
        <v>565</v>
      </c>
      <c r="E274" s="803" t="s">
        <v>96</v>
      </c>
      <c r="F274" s="360">
        <f>'MEMORIAL DE CALCULO'!H2132</f>
        <v>13</v>
      </c>
      <c r="G274" s="1171"/>
      <c r="H274" s="270">
        <f t="shared" si="106"/>
        <v>0</v>
      </c>
      <c r="I274" s="874">
        <f t="shared" si="109"/>
        <v>0</v>
      </c>
      <c r="J274" s="874">
        <f t="shared" si="110"/>
        <v>0</v>
      </c>
      <c r="K274" s="244"/>
    </row>
    <row r="275" spans="1:11" ht="57" outlineLevel="2">
      <c r="A275" s="253">
        <v>89785</v>
      </c>
      <c r="B275" s="254" t="s">
        <v>26</v>
      </c>
      <c r="C275" s="247" t="s">
        <v>566</v>
      </c>
      <c r="D275" s="795" t="s">
        <v>567</v>
      </c>
      <c r="E275" s="803" t="s">
        <v>96</v>
      </c>
      <c r="F275" s="360">
        <f>'MEMORIAL DE CALCULO'!H2134</f>
        <v>1</v>
      </c>
      <c r="G275" s="1171"/>
      <c r="H275" s="270">
        <f t="shared" si="106"/>
        <v>0</v>
      </c>
      <c r="I275" s="874">
        <f t="shared" si="109"/>
        <v>0</v>
      </c>
      <c r="J275" s="874">
        <f t="shared" si="110"/>
        <v>0</v>
      </c>
      <c r="K275" s="244"/>
    </row>
    <row r="276" spans="1:11" ht="45.75" customHeight="1" outlineLevel="2">
      <c r="A276" s="253">
        <v>89857</v>
      </c>
      <c r="B276" s="254" t="s">
        <v>26</v>
      </c>
      <c r="C276" s="247" t="s">
        <v>568</v>
      </c>
      <c r="D276" s="795" t="s">
        <v>569</v>
      </c>
      <c r="E276" s="803" t="s">
        <v>96</v>
      </c>
      <c r="F276" s="360">
        <f>'MEMORIAL DE CALCULO'!H2136</f>
        <v>94</v>
      </c>
      <c r="G276" s="1171"/>
      <c r="H276" s="270">
        <f t="shared" si="106"/>
        <v>0</v>
      </c>
      <c r="I276" s="874">
        <f t="shared" si="109"/>
        <v>0</v>
      </c>
      <c r="J276" s="874">
        <f t="shared" si="110"/>
        <v>0</v>
      </c>
      <c r="K276" s="244"/>
    </row>
    <row r="277" spans="1:11" ht="28.5" outlineLevel="2">
      <c r="A277" s="253" t="s">
        <v>570</v>
      </c>
      <c r="B277" s="254" t="s">
        <v>67</v>
      </c>
      <c r="C277" s="247" t="s">
        <v>571</v>
      </c>
      <c r="D277" s="795" t="s">
        <v>572</v>
      </c>
      <c r="E277" s="803" t="s">
        <v>96</v>
      </c>
      <c r="F277" s="360">
        <f>'MEMORIAL DE CALCULO'!H2138</f>
        <v>18</v>
      </c>
      <c r="G277" s="1171"/>
      <c r="H277" s="270">
        <f t="shared" si="106"/>
        <v>0</v>
      </c>
      <c r="I277" s="874">
        <f t="shared" si="109"/>
        <v>0</v>
      </c>
      <c r="J277" s="874">
        <f t="shared" si="110"/>
        <v>0</v>
      </c>
      <c r="K277" s="244"/>
    </row>
    <row r="278" spans="1:11" ht="30" customHeight="1" outlineLevel="2">
      <c r="A278" s="253">
        <v>1657</v>
      </c>
      <c r="B278" s="254" t="s">
        <v>67</v>
      </c>
      <c r="C278" s="247" t="s">
        <v>573</v>
      </c>
      <c r="D278" s="795" t="s">
        <v>574</v>
      </c>
      <c r="E278" s="803" t="s">
        <v>96</v>
      </c>
      <c r="F278" s="360">
        <f>'MEMORIAL DE CALCULO'!H2140</f>
        <v>4</v>
      </c>
      <c r="G278" s="1171"/>
      <c r="H278" s="270">
        <f t="shared" ref="H278:H339" si="111">G278*$I$5</f>
        <v>0</v>
      </c>
      <c r="I278" s="874">
        <f t="shared" si="109"/>
        <v>0</v>
      </c>
      <c r="J278" s="874">
        <f t="shared" si="110"/>
        <v>0</v>
      </c>
      <c r="K278" s="244"/>
    </row>
    <row r="279" spans="1:11" ht="42.75" outlineLevel="2">
      <c r="A279" s="253">
        <v>89546</v>
      </c>
      <c r="B279" s="254" t="s">
        <v>26</v>
      </c>
      <c r="C279" s="247" t="s">
        <v>575</v>
      </c>
      <c r="D279" s="795" t="s">
        <v>576</v>
      </c>
      <c r="E279" s="803" t="s">
        <v>96</v>
      </c>
      <c r="F279" s="360">
        <f>'MEMORIAL DE CALCULO'!H2142</f>
        <v>4</v>
      </c>
      <c r="G279" s="1171"/>
      <c r="H279" s="270">
        <f t="shared" si="111"/>
        <v>0</v>
      </c>
      <c r="I279" s="874">
        <f t="shared" si="109"/>
        <v>0</v>
      </c>
      <c r="J279" s="874">
        <f t="shared" si="110"/>
        <v>0</v>
      </c>
      <c r="K279" s="244"/>
    </row>
    <row r="280" spans="1:11" ht="28.5" outlineLevel="2">
      <c r="A280" s="253">
        <v>1588</v>
      </c>
      <c r="B280" s="254" t="s">
        <v>67</v>
      </c>
      <c r="C280" s="247" t="s">
        <v>577</v>
      </c>
      <c r="D280" s="795" t="s">
        <v>578</v>
      </c>
      <c r="E280" s="803" t="s">
        <v>96</v>
      </c>
      <c r="F280" s="360">
        <f>'MEMORIAL DE CALCULO'!H2144</f>
        <v>3</v>
      </c>
      <c r="G280" s="1171"/>
      <c r="H280" s="270">
        <f t="shared" si="111"/>
        <v>0</v>
      </c>
      <c r="I280" s="874">
        <f t="shared" si="109"/>
        <v>0</v>
      </c>
      <c r="J280" s="874">
        <f t="shared" si="110"/>
        <v>0</v>
      </c>
      <c r="K280" s="244"/>
    </row>
    <row r="281" spans="1:11" ht="28.5" outlineLevel="2">
      <c r="A281" s="253">
        <v>1585</v>
      </c>
      <c r="B281" s="254" t="s">
        <v>67</v>
      </c>
      <c r="C281" s="247" t="s">
        <v>579</v>
      </c>
      <c r="D281" s="795" t="s">
        <v>580</v>
      </c>
      <c r="E281" s="803" t="s">
        <v>96</v>
      </c>
      <c r="F281" s="360">
        <f>'MEMORIAL DE CALCULO'!H2146</f>
        <v>12</v>
      </c>
      <c r="G281" s="1171"/>
      <c r="H281" s="270">
        <f t="shared" si="111"/>
        <v>0</v>
      </c>
      <c r="I281" s="874">
        <f t="shared" si="109"/>
        <v>0</v>
      </c>
      <c r="J281" s="874">
        <f t="shared" si="110"/>
        <v>0</v>
      </c>
      <c r="K281" s="244"/>
    </row>
    <row r="282" spans="1:11" ht="42.75" outlineLevel="2">
      <c r="A282" s="253">
        <v>89711</v>
      </c>
      <c r="B282" s="254" t="s">
        <v>26</v>
      </c>
      <c r="C282" s="247" t="s">
        <v>581</v>
      </c>
      <c r="D282" s="795" t="s">
        <v>582</v>
      </c>
      <c r="E282" s="803" t="s">
        <v>246</v>
      </c>
      <c r="F282" s="360">
        <f>'MEMORIAL DE CALCULO'!H2148</f>
        <v>120</v>
      </c>
      <c r="G282" s="1171"/>
      <c r="H282" s="270">
        <f t="shared" si="111"/>
        <v>0</v>
      </c>
      <c r="I282" s="874">
        <f t="shared" si="109"/>
        <v>0</v>
      </c>
      <c r="J282" s="874">
        <f t="shared" si="110"/>
        <v>0</v>
      </c>
      <c r="K282" s="244"/>
    </row>
    <row r="283" spans="1:11" ht="28.5" outlineLevel="2">
      <c r="A283" s="253">
        <v>1530</v>
      </c>
      <c r="B283" s="254" t="s">
        <v>67</v>
      </c>
      <c r="C283" s="247" t="s">
        <v>583</v>
      </c>
      <c r="D283" s="795" t="s">
        <v>584</v>
      </c>
      <c r="E283" s="803" t="s">
        <v>246</v>
      </c>
      <c r="F283" s="360">
        <f>'MEMORIAL DE CALCULO'!H2150</f>
        <v>234</v>
      </c>
      <c r="G283" s="1171"/>
      <c r="H283" s="270">
        <f t="shared" si="111"/>
        <v>0</v>
      </c>
      <c r="I283" s="874">
        <f t="shared" si="109"/>
        <v>0</v>
      </c>
      <c r="J283" s="874">
        <f t="shared" si="110"/>
        <v>0</v>
      </c>
      <c r="K283" s="244"/>
    </row>
    <row r="284" spans="1:11" ht="28.5" outlineLevel="2">
      <c r="A284" s="253">
        <v>1531</v>
      </c>
      <c r="B284" s="254" t="s">
        <v>67</v>
      </c>
      <c r="C284" s="247" t="s">
        <v>585</v>
      </c>
      <c r="D284" s="795" t="s">
        <v>586</v>
      </c>
      <c r="E284" s="803" t="s">
        <v>246</v>
      </c>
      <c r="F284" s="360">
        <f>'MEMORIAL DE CALCULO'!H2152</f>
        <v>12</v>
      </c>
      <c r="G284" s="1171"/>
      <c r="H284" s="270">
        <f t="shared" si="111"/>
        <v>0</v>
      </c>
      <c r="I284" s="874">
        <f t="shared" si="109"/>
        <v>0</v>
      </c>
      <c r="J284" s="874">
        <f t="shared" si="110"/>
        <v>0</v>
      </c>
      <c r="K284" s="244"/>
    </row>
    <row r="285" spans="1:11" ht="28.5" outlineLevel="2">
      <c r="A285" s="253">
        <v>1532</v>
      </c>
      <c r="B285" s="254" t="s">
        <v>67</v>
      </c>
      <c r="C285" s="247" t="s">
        <v>587</v>
      </c>
      <c r="D285" s="795" t="s">
        <v>588</v>
      </c>
      <c r="E285" s="803" t="s">
        <v>246</v>
      </c>
      <c r="F285" s="360">
        <f>'MEMORIAL DE CALCULO'!H2154</f>
        <v>590</v>
      </c>
      <c r="G285" s="1171"/>
      <c r="H285" s="270">
        <f t="shared" si="111"/>
        <v>0</v>
      </c>
      <c r="I285" s="874">
        <f t="shared" si="109"/>
        <v>0</v>
      </c>
      <c r="J285" s="874">
        <f t="shared" si="110"/>
        <v>0</v>
      </c>
      <c r="K285" s="244"/>
    </row>
    <row r="286" spans="1:11" ht="42.75" outlineLevel="2">
      <c r="A286" s="253">
        <v>89849</v>
      </c>
      <c r="B286" s="254" t="s">
        <v>26</v>
      </c>
      <c r="C286" s="247" t="s">
        <v>589</v>
      </c>
      <c r="D286" s="795" t="s">
        <v>590</v>
      </c>
      <c r="E286" s="803" t="s">
        <v>246</v>
      </c>
      <c r="F286" s="360">
        <f>'MEMORIAL DE CALCULO'!H2156</f>
        <v>48</v>
      </c>
      <c r="G286" s="1171"/>
      <c r="H286" s="270">
        <f t="shared" si="111"/>
        <v>0</v>
      </c>
      <c r="I286" s="874">
        <f t="shared" si="109"/>
        <v>0</v>
      </c>
      <c r="J286" s="874">
        <f t="shared" si="110"/>
        <v>0</v>
      </c>
      <c r="K286" s="244"/>
    </row>
    <row r="287" spans="1:11" ht="32.25" customHeight="1" outlineLevel="2">
      <c r="A287" s="253">
        <v>8473</v>
      </c>
      <c r="B287" s="254" t="s">
        <v>67</v>
      </c>
      <c r="C287" s="247" t="s">
        <v>591</v>
      </c>
      <c r="D287" s="795" t="s">
        <v>592</v>
      </c>
      <c r="E287" s="803" t="s">
        <v>246</v>
      </c>
      <c r="F287" s="360">
        <f>'MEMORIAL DE CALCULO'!H2158</f>
        <v>12</v>
      </c>
      <c r="G287" s="1171"/>
      <c r="H287" s="270">
        <f t="shared" si="111"/>
        <v>0</v>
      </c>
      <c r="I287" s="874">
        <f t="shared" si="109"/>
        <v>0</v>
      </c>
      <c r="J287" s="874">
        <f t="shared" si="110"/>
        <v>0</v>
      </c>
      <c r="K287" s="244"/>
    </row>
    <row r="288" spans="1:11" ht="42.75" outlineLevel="2">
      <c r="A288" s="253">
        <v>9383</v>
      </c>
      <c r="B288" s="254" t="s">
        <v>67</v>
      </c>
      <c r="C288" s="247" t="s">
        <v>593</v>
      </c>
      <c r="D288" s="795" t="s">
        <v>594</v>
      </c>
      <c r="E288" s="353" t="s">
        <v>96</v>
      </c>
      <c r="F288" s="809">
        <f>'MEMORIAL DE CALCULO'!H2160</f>
        <v>18</v>
      </c>
      <c r="G288" s="1171"/>
      <c r="H288" s="270">
        <f t="shared" si="111"/>
        <v>0</v>
      </c>
      <c r="I288" s="874">
        <f t="shared" si="109"/>
        <v>0</v>
      </c>
      <c r="J288" s="874">
        <f t="shared" si="110"/>
        <v>0</v>
      </c>
      <c r="K288" s="244"/>
    </row>
    <row r="289" spans="1:11" ht="48" customHeight="1" outlineLevel="2">
      <c r="A289" s="246">
        <v>89709</v>
      </c>
      <c r="B289" s="247" t="s">
        <v>26</v>
      </c>
      <c r="C289" s="247" t="s">
        <v>595</v>
      </c>
      <c r="D289" s="795" t="s">
        <v>596</v>
      </c>
      <c r="E289" s="353" t="s">
        <v>96</v>
      </c>
      <c r="F289" s="360">
        <f>'MEMORIAL DE CALCULO'!H2162</f>
        <v>66</v>
      </c>
      <c r="G289" s="1171"/>
      <c r="H289" s="270">
        <f t="shared" si="111"/>
        <v>0</v>
      </c>
      <c r="I289" s="874">
        <f t="shared" si="109"/>
        <v>0</v>
      </c>
      <c r="J289" s="874">
        <f t="shared" si="110"/>
        <v>0</v>
      </c>
      <c r="K289" s="244"/>
    </row>
    <row r="290" spans="1:11" ht="28.15" customHeight="1" outlineLevel="2">
      <c r="A290" s="253">
        <v>4883</v>
      </c>
      <c r="B290" s="254" t="s">
        <v>67</v>
      </c>
      <c r="C290" s="247" t="s">
        <v>597</v>
      </c>
      <c r="D290" s="795" t="s">
        <v>598</v>
      </c>
      <c r="E290" s="803" t="s">
        <v>96</v>
      </c>
      <c r="F290" s="360">
        <f>'MEMORIAL DE CALCULO'!H2165</f>
        <v>26</v>
      </c>
      <c r="G290" s="1171"/>
      <c r="H290" s="270">
        <f t="shared" si="111"/>
        <v>0</v>
      </c>
      <c r="I290" s="874">
        <f t="shared" si="109"/>
        <v>0</v>
      </c>
      <c r="J290" s="874">
        <f t="shared" si="110"/>
        <v>0</v>
      </c>
      <c r="K290" s="244"/>
    </row>
    <row r="291" spans="1:11" ht="34.15" customHeight="1" outlineLevel="2">
      <c r="A291" s="253">
        <v>10266</v>
      </c>
      <c r="B291" s="254" t="s">
        <v>67</v>
      </c>
      <c r="C291" s="247" t="s">
        <v>599</v>
      </c>
      <c r="D291" s="795" t="s">
        <v>600</v>
      </c>
      <c r="E291" s="803" t="s">
        <v>96</v>
      </c>
      <c r="F291" s="360">
        <f>'MEMORIAL DE CALCULO'!H2167</f>
        <v>7</v>
      </c>
      <c r="G291" s="1171"/>
      <c r="H291" s="270">
        <f t="shared" si="111"/>
        <v>0</v>
      </c>
      <c r="I291" s="874">
        <f t="shared" si="109"/>
        <v>0</v>
      </c>
      <c r="J291" s="874">
        <f t="shared" si="110"/>
        <v>0</v>
      </c>
      <c r="K291" s="244"/>
    </row>
    <row r="292" spans="1:11" ht="25.9" customHeight="1" outlineLevel="2">
      <c r="A292" s="253">
        <v>1212</v>
      </c>
      <c r="B292" s="254" t="s">
        <v>67</v>
      </c>
      <c r="C292" s="247" t="s">
        <v>601</v>
      </c>
      <c r="D292" s="795" t="s">
        <v>602</v>
      </c>
      <c r="E292" s="803" t="s">
        <v>96</v>
      </c>
      <c r="F292" s="360">
        <f>'MEMORIAL DE CALCULO'!H2169</f>
        <v>51</v>
      </c>
      <c r="G292" s="1171"/>
      <c r="H292" s="270">
        <f t="shared" si="111"/>
        <v>0</v>
      </c>
      <c r="I292" s="874">
        <f t="shared" si="109"/>
        <v>0</v>
      </c>
      <c r="J292" s="874">
        <f t="shared" si="110"/>
        <v>0</v>
      </c>
      <c r="K292" s="244"/>
    </row>
    <row r="293" spans="1:11" ht="30" customHeight="1" outlineLevel="2">
      <c r="A293" s="253">
        <v>3404</v>
      </c>
      <c r="B293" s="254" t="s">
        <v>67</v>
      </c>
      <c r="C293" s="247" t="s">
        <v>603</v>
      </c>
      <c r="D293" s="811" t="s">
        <v>604</v>
      </c>
      <c r="E293" s="816" t="s">
        <v>96</v>
      </c>
      <c r="F293" s="771">
        <f>'MEMORIAL DE CALCULO'!H2171</f>
        <v>78</v>
      </c>
      <c r="G293" s="1171"/>
      <c r="H293" s="270">
        <f t="shared" si="111"/>
        <v>0</v>
      </c>
      <c r="I293" s="874">
        <f t="shared" si="109"/>
        <v>0</v>
      </c>
      <c r="J293" s="874">
        <f t="shared" si="110"/>
        <v>0</v>
      </c>
      <c r="K293" s="320"/>
    </row>
    <row r="294" spans="1:11" ht="30" customHeight="1" outlineLevel="2">
      <c r="A294" s="253">
        <v>4719</v>
      </c>
      <c r="B294" s="254" t="s">
        <v>67</v>
      </c>
      <c r="C294" s="247" t="s">
        <v>605</v>
      </c>
      <c r="D294" s="817" t="s">
        <v>606</v>
      </c>
      <c r="E294" s="818" t="s">
        <v>55</v>
      </c>
      <c r="F294" s="819">
        <f>'MEMORIAL DE CALCULO'!H2174</f>
        <v>12</v>
      </c>
      <c r="G294" s="1171"/>
      <c r="H294" s="270">
        <f t="shared" si="111"/>
        <v>0</v>
      </c>
      <c r="I294" s="874">
        <f>F294*G294</f>
        <v>0</v>
      </c>
      <c r="J294" s="874">
        <f>H294*F294</f>
        <v>0</v>
      </c>
      <c r="K294" s="711"/>
    </row>
    <row r="295" spans="1:11" ht="45" customHeight="1" outlineLevel="2">
      <c r="A295" s="253">
        <v>3232</v>
      </c>
      <c r="B295" s="254" t="s">
        <v>67</v>
      </c>
      <c r="C295" s="247" t="s">
        <v>607</v>
      </c>
      <c r="D295" s="812" t="s">
        <v>608</v>
      </c>
      <c r="E295" s="820" t="s">
        <v>55</v>
      </c>
      <c r="F295" s="813">
        <f>'MEMORIAL DE CALCULO'!H2176</f>
        <v>10</v>
      </c>
      <c r="G295" s="1171"/>
      <c r="H295" s="270">
        <f t="shared" si="111"/>
        <v>0</v>
      </c>
      <c r="I295" s="874">
        <f>F295*G295</f>
        <v>0</v>
      </c>
      <c r="J295" s="874">
        <f>H295*F295</f>
        <v>0</v>
      </c>
      <c r="K295" s="320"/>
    </row>
    <row r="296" spans="1:11" ht="45" customHeight="1" outlineLevel="2">
      <c r="A296" s="253">
        <v>6389</v>
      </c>
      <c r="B296" s="254" t="s">
        <v>67</v>
      </c>
      <c r="C296" s="247" t="s">
        <v>609</v>
      </c>
      <c r="D296" s="812" t="s">
        <v>610</v>
      </c>
      <c r="E296" s="820" t="s">
        <v>55</v>
      </c>
      <c r="F296" s="813">
        <f>'MEMORIAL DE CALCULO'!H2178</f>
        <v>38</v>
      </c>
      <c r="G296" s="1171"/>
      <c r="H296" s="270">
        <f t="shared" si="111"/>
        <v>0</v>
      </c>
      <c r="I296" s="874">
        <f>F296*G296</f>
        <v>0</v>
      </c>
      <c r="J296" s="874">
        <f>H296*F296</f>
        <v>0</v>
      </c>
      <c r="K296" s="320"/>
    </row>
    <row r="297" spans="1:11" outlineLevel="2">
      <c r="A297" s="714">
        <v>4283</v>
      </c>
      <c r="B297" s="713" t="s">
        <v>67</v>
      </c>
      <c r="C297" s="649" t="s">
        <v>611</v>
      </c>
      <c r="D297" s="812" t="s">
        <v>612</v>
      </c>
      <c r="E297" s="820" t="s">
        <v>55</v>
      </c>
      <c r="F297" s="813">
        <f>'MEMORIAL DE CALCULO'!H2181</f>
        <v>54</v>
      </c>
      <c r="G297" s="1171"/>
      <c r="H297" s="270">
        <f t="shared" si="111"/>
        <v>0</v>
      </c>
      <c r="I297" s="874">
        <f>F297*G297</f>
        <v>0</v>
      </c>
      <c r="J297" s="874">
        <f>H297*F297</f>
        <v>0</v>
      </c>
      <c r="K297" s="320"/>
    </row>
    <row r="298" spans="1:11" ht="18" customHeight="1" outlineLevel="1">
      <c r="A298" s="246"/>
      <c r="B298" s="247"/>
      <c r="C298" s="249" t="s">
        <v>613</v>
      </c>
      <c r="D298" s="29" t="s">
        <v>614</v>
      </c>
      <c r="E298" s="984"/>
      <c r="F298" s="45"/>
      <c r="G298" s="46"/>
      <c r="H298" s="46"/>
      <c r="I298" s="250">
        <f>SUM(I299:I314)</f>
        <v>0</v>
      </c>
      <c r="J298" s="250">
        <f>SUM(J299:J314)</f>
        <v>0</v>
      </c>
      <c r="K298" s="32" t="e">
        <f>J298/$J$685</f>
        <v>#DIV/0!</v>
      </c>
    </row>
    <row r="299" spans="1:11" ht="28.5" outlineLevel="1">
      <c r="A299" s="246">
        <v>1472</v>
      </c>
      <c r="B299" s="247" t="s">
        <v>67</v>
      </c>
      <c r="C299" s="247" t="s">
        <v>615</v>
      </c>
      <c r="D299" s="796" t="s">
        <v>616</v>
      </c>
      <c r="E299" s="797" t="s">
        <v>55</v>
      </c>
      <c r="F299" s="798">
        <f>'MEMORIAL DE CALCULO'!H2185</f>
        <v>1</v>
      </c>
      <c r="G299" s="1171"/>
      <c r="H299" s="270">
        <f t="shared" si="111"/>
        <v>0</v>
      </c>
      <c r="I299" s="874">
        <f t="shared" ref="I299:I314" si="112">F299*G299</f>
        <v>0</v>
      </c>
      <c r="J299" s="874">
        <f t="shared" ref="J299:J314" si="113">H299*F299</f>
        <v>0</v>
      </c>
      <c r="K299" s="566"/>
    </row>
    <row r="300" spans="1:11" ht="25.9" customHeight="1" outlineLevel="1">
      <c r="A300" s="246">
        <v>1482</v>
      </c>
      <c r="B300" s="247" t="s">
        <v>67</v>
      </c>
      <c r="C300" s="247" t="s">
        <v>617</v>
      </c>
      <c r="D300" s="796" t="s">
        <v>618</v>
      </c>
      <c r="E300" s="797" t="s">
        <v>55</v>
      </c>
      <c r="F300" s="798">
        <f>'MEMORIAL DE CALCULO'!H2187</f>
        <v>4</v>
      </c>
      <c r="G300" s="1171"/>
      <c r="H300" s="270">
        <f t="shared" si="111"/>
        <v>0</v>
      </c>
      <c r="I300" s="874">
        <f t="shared" si="112"/>
        <v>0</v>
      </c>
      <c r="J300" s="874">
        <f t="shared" si="113"/>
        <v>0</v>
      </c>
      <c r="K300" s="244"/>
    </row>
    <row r="301" spans="1:11" ht="28.5" outlineLevel="1">
      <c r="A301" s="246">
        <v>99629</v>
      </c>
      <c r="B301" s="247" t="s">
        <v>26</v>
      </c>
      <c r="C301" s="247" t="s">
        <v>619</v>
      </c>
      <c r="D301" s="796" t="s">
        <v>620</v>
      </c>
      <c r="E301" s="797" t="s">
        <v>55</v>
      </c>
      <c r="F301" s="798">
        <f>'MEMORIAL DE CALCULO'!H2189</f>
        <v>4</v>
      </c>
      <c r="G301" s="1171"/>
      <c r="H301" s="270">
        <f t="shared" si="111"/>
        <v>0</v>
      </c>
      <c r="I301" s="874">
        <f t="shared" si="112"/>
        <v>0</v>
      </c>
      <c r="J301" s="874">
        <f t="shared" si="113"/>
        <v>0</v>
      </c>
      <c r="K301" s="244"/>
    </row>
    <row r="302" spans="1:11" ht="46.5" customHeight="1" outlineLevel="1">
      <c r="A302" s="246">
        <v>7350</v>
      </c>
      <c r="B302" s="247" t="s">
        <v>67</v>
      </c>
      <c r="C302" s="247" t="s">
        <v>621</v>
      </c>
      <c r="D302" s="796" t="s">
        <v>622</v>
      </c>
      <c r="E302" s="797" t="s">
        <v>55</v>
      </c>
      <c r="F302" s="798">
        <f>'MEMORIAL DE CALCULO'!H2191</f>
        <v>2</v>
      </c>
      <c r="G302" s="1171"/>
      <c r="H302" s="270">
        <f t="shared" si="111"/>
        <v>0</v>
      </c>
      <c r="I302" s="874">
        <f t="shared" si="112"/>
        <v>0</v>
      </c>
      <c r="J302" s="874">
        <f t="shared" si="113"/>
        <v>0</v>
      </c>
      <c r="K302" s="244"/>
    </row>
    <row r="303" spans="1:11" ht="42.75" outlineLevel="1">
      <c r="A303" s="246">
        <v>3669</v>
      </c>
      <c r="B303" s="247" t="s">
        <v>67</v>
      </c>
      <c r="C303" s="247" t="s">
        <v>623</v>
      </c>
      <c r="D303" s="796" t="s">
        <v>624</v>
      </c>
      <c r="E303" s="797" t="s">
        <v>55</v>
      </c>
      <c r="F303" s="798">
        <f>'MEMORIAL DE CALCULO'!H2194</f>
        <v>12</v>
      </c>
      <c r="G303" s="1171"/>
      <c r="H303" s="270">
        <f t="shared" si="111"/>
        <v>0</v>
      </c>
      <c r="I303" s="874">
        <f t="shared" si="112"/>
        <v>0</v>
      </c>
      <c r="J303" s="874">
        <f t="shared" si="113"/>
        <v>0</v>
      </c>
      <c r="K303" s="244"/>
    </row>
    <row r="304" spans="1:11" ht="55.5" customHeight="1" outlineLevel="1">
      <c r="A304" s="246" t="str">
        <f>'COMP. GERAL'!A176</f>
        <v>COMP - 00/11</v>
      </c>
      <c r="B304" s="247"/>
      <c r="C304" s="247" t="s">
        <v>625</v>
      </c>
      <c r="D304" s="796" t="str">
        <f>'COMP. GERAL'!B176</f>
        <v>CUBA EM AÇO INOX AISI 304 RETANGULAR DE EMBUTIR, DIMENSÃO 34X40X17CM, P/ INSTALAÇÃO EM BANCADAS C/ VÁLVULA CROMADA DE DIÂM. 3 1/2” DA MARCA DE REF. TRAMONTINA, OU SIMILAR.</v>
      </c>
      <c r="E304" s="797" t="s">
        <v>55</v>
      </c>
      <c r="F304" s="798">
        <f>'MEMORIAL DE CALCULO'!H2200</f>
        <v>1</v>
      </c>
      <c r="G304" s="1171"/>
      <c r="H304" s="270">
        <f t="shared" si="111"/>
        <v>0</v>
      </c>
      <c r="I304" s="874">
        <f t="shared" si="112"/>
        <v>0</v>
      </c>
      <c r="J304" s="874">
        <f t="shared" si="113"/>
        <v>0</v>
      </c>
      <c r="K304" s="244"/>
    </row>
    <row r="305" spans="1:11" ht="57" outlineLevel="1">
      <c r="A305" s="246">
        <v>86931</v>
      </c>
      <c r="B305" s="247" t="s">
        <v>26</v>
      </c>
      <c r="C305" s="247" t="s">
        <v>626</v>
      </c>
      <c r="D305" s="796" t="s">
        <v>627</v>
      </c>
      <c r="E305" s="797" t="s">
        <v>55</v>
      </c>
      <c r="F305" s="798">
        <f>'MEMORIAL DE CALCULO'!H2202</f>
        <v>12</v>
      </c>
      <c r="G305" s="1171"/>
      <c r="H305" s="270">
        <f t="shared" si="111"/>
        <v>0</v>
      </c>
      <c r="I305" s="874">
        <f t="shared" si="112"/>
        <v>0</v>
      </c>
      <c r="J305" s="874">
        <f t="shared" si="113"/>
        <v>0</v>
      </c>
      <c r="K305" s="244"/>
    </row>
    <row r="306" spans="1:11" ht="33.6" customHeight="1" outlineLevel="1">
      <c r="A306" s="246">
        <v>2066</v>
      </c>
      <c r="B306" s="247" t="s">
        <v>67</v>
      </c>
      <c r="C306" s="247" t="s">
        <v>628</v>
      </c>
      <c r="D306" s="796" t="s">
        <v>629</v>
      </c>
      <c r="E306" s="797" t="s">
        <v>55</v>
      </c>
      <c r="F306" s="798">
        <f>'MEMORIAL DE CALCULO'!H2208</f>
        <v>14</v>
      </c>
      <c r="G306" s="1171"/>
      <c r="H306" s="270">
        <f t="shared" si="111"/>
        <v>0</v>
      </c>
      <c r="I306" s="874">
        <f t="shared" si="112"/>
        <v>0</v>
      </c>
      <c r="J306" s="874">
        <f t="shared" si="113"/>
        <v>0</v>
      </c>
      <c r="K306" s="244"/>
    </row>
    <row r="307" spans="1:11" ht="42.75" outlineLevel="1">
      <c r="A307" s="246">
        <v>12101</v>
      </c>
      <c r="B307" s="247" t="s">
        <v>67</v>
      </c>
      <c r="C307" s="246" t="s">
        <v>630</v>
      </c>
      <c r="D307" s="796" t="s">
        <v>631</v>
      </c>
      <c r="E307" s="797" t="s">
        <v>55</v>
      </c>
      <c r="F307" s="798">
        <f>'MEMORIAL DE CALCULO'!H2216</f>
        <v>2</v>
      </c>
      <c r="G307" s="1171"/>
      <c r="H307" s="270">
        <f t="shared" si="111"/>
        <v>0</v>
      </c>
      <c r="I307" s="874">
        <f t="shared" si="112"/>
        <v>0</v>
      </c>
      <c r="J307" s="874">
        <f t="shared" si="113"/>
        <v>0</v>
      </c>
      <c r="K307" s="244"/>
    </row>
    <row r="308" spans="1:11" ht="42.75" outlineLevel="1">
      <c r="A308" s="246" t="str">
        <f>'COMP. GERAL'!A4</f>
        <v>COMP - 00/01</v>
      </c>
      <c r="B308" s="247"/>
      <c r="C308" s="246" t="s">
        <v>632</v>
      </c>
      <c r="D308" s="796" t="s">
        <v>633</v>
      </c>
      <c r="E308" s="797" t="s">
        <v>55</v>
      </c>
      <c r="F308" s="798">
        <f>'MEMORIAL DE CALCULO'!H2219</f>
        <v>2</v>
      </c>
      <c r="G308" s="1171"/>
      <c r="H308" s="270">
        <f t="shared" si="111"/>
        <v>0</v>
      </c>
      <c r="I308" s="874">
        <f t="shared" si="112"/>
        <v>0</v>
      </c>
      <c r="J308" s="874">
        <f t="shared" si="113"/>
        <v>0</v>
      </c>
      <c r="K308" s="244"/>
    </row>
    <row r="309" spans="1:11" ht="28.5" outlineLevel="1">
      <c r="A309" s="246">
        <v>2003</v>
      </c>
      <c r="B309" s="247" t="s">
        <v>67</v>
      </c>
      <c r="C309" s="246" t="s">
        <v>634</v>
      </c>
      <c r="D309" s="796" t="s">
        <v>635</v>
      </c>
      <c r="E309" s="797" t="s">
        <v>55</v>
      </c>
      <c r="F309" s="798">
        <f>'MEMORIAL DE CALCULO'!H2222</f>
        <v>1</v>
      </c>
      <c r="G309" s="1171"/>
      <c r="H309" s="270">
        <f t="shared" si="111"/>
        <v>0</v>
      </c>
      <c r="I309" s="874">
        <f t="shared" si="112"/>
        <v>0</v>
      </c>
      <c r="J309" s="874">
        <f t="shared" si="113"/>
        <v>0</v>
      </c>
      <c r="K309" s="244"/>
    </row>
    <row r="310" spans="1:11" ht="38.25" customHeight="1" outlineLevel="1">
      <c r="A310" s="246">
        <v>2055</v>
      </c>
      <c r="B310" s="247" t="s">
        <v>67</v>
      </c>
      <c r="C310" s="246" t="s">
        <v>636</v>
      </c>
      <c r="D310" s="796" t="s">
        <v>637</v>
      </c>
      <c r="E310" s="797" t="s">
        <v>55</v>
      </c>
      <c r="F310" s="798">
        <f>'MEMORIAL DE CALCULO'!H2224</f>
        <v>1</v>
      </c>
      <c r="G310" s="1171"/>
      <c r="H310" s="270">
        <f t="shared" si="111"/>
        <v>0</v>
      </c>
      <c r="I310" s="874">
        <f t="shared" si="112"/>
        <v>0</v>
      </c>
      <c r="J310" s="874">
        <f t="shared" si="113"/>
        <v>0</v>
      </c>
      <c r="K310" s="244"/>
    </row>
    <row r="311" spans="1:11" ht="42.75" outlineLevel="1">
      <c r="A311" s="246" t="str">
        <f>'COMP. GERAL'!A191</f>
        <v>COMP - 00/12</v>
      </c>
      <c r="B311" s="247"/>
      <c r="C311" s="246" t="s">
        <v>638</v>
      </c>
      <c r="D311" s="847" t="s">
        <v>2711</v>
      </c>
      <c r="E311" s="797" t="s">
        <v>96</v>
      </c>
      <c r="F311" s="798">
        <f>'MEMORIAL DE CALCULO'!H2226</f>
        <v>14</v>
      </c>
      <c r="G311" s="1171"/>
      <c r="H311" s="270">
        <f t="shared" si="111"/>
        <v>0</v>
      </c>
      <c r="I311" s="874">
        <f t="shared" si="112"/>
        <v>0</v>
      </c>
      <c r="J311" s="874">
        <f t="shared" si="113"/>
        <v>0</v>
      </c>
      <c r="K311" s="244"/>
    </row>
    <row r="312" spans="1:11" ht="42.75" outlineLevel="1">
      <c r="A312" s="246">
        <v>11747</v>
      </c>
      <c r="B312" s="247" t="s">
        <v>67</v>
      </c>
      <c r="C312" s="246" t="s">
        <v>639</v>
      </c>
      <c r="D312" s="796" t="s">
        <v>640</v>
      </c>
      <c r="E312" s="797" t="s">
        <v>96</v>
      </c>
      <c r="F312" s="798">
        <f>'MEMORIAL DE CALCULO'!H2233</f>
        <v>1</v>
      </c>
      <c r="G312" s="1171"/>
      <c r="H312" s="270">
        <f t="shared" si="111"/>
        <v>0</v>
      </c>
      <c r="I312" s="874">
        <f t="shared" si="112"/>
        <v>0</v>
      </c>
      <c r="J312" s="874">
        <f t="shared" si="113"/>
        <v>0</v>
      </c>
      <c r="K312" s="244"/>
    </row>
    <row r="313" spans="1:11" ht="28.5" outlineLevel="1">
      <c r="A313" s="246">
        <v>3682</v>
      </c>
      <c r="B313" s="247" t="s">
        <v>67</v>
      </c>
      <c r="C313" s="246" t="s">
        <v>641</v>
      </c>
      <c r="D313" s="796" t="s">
        <v>642</v>
      </c>
      <c r="E313" s="797" t="s">
        <v>96</v>
      </c>
      <c r="F313" s="798">
        <f>'MEMORIAL DE CALCULO'!H2235</f>
        <v>8</v>
      </c>
      <c r="G313" s="1171"/>
      <c r="H313" s="270">
        <f t="shared" si="111"/>
        <v>0</v>
      </c>
      <c r="I313" s="874">
        <f t="shared" si="112"/>
        <v>0</v>
      </c>
      <c r="J313" s="874">
        <f t="shared" si="113"/>
        <v>0</v>
      </c>
      <c r="K313" s="244"/>
    </row>
    <row r="314" spans="1:11" ht="29.25" customHeight="1" outlineLevel="1">
      <c r="A314" s="246">
        <v>9173</v>
      </c>
      <c r="B314" s="247" t="s">
        <v>67</v>
      </c>
      <c r="C314" s="246" t="s">
        <v>643</v>
      </c>
      <c r="D314" s="796" t="str">
        <f>UPPER(" Ducha manual com registro, linha aspen, ref. 1984 C35 ACT, da DECA ou similar")</f>
        <v xml:space="preserve"> DUCHA MANUAL COM REGISTRO, LINHA ASPEN, REF. 1984 C35 ACT, DA DECA OU SIMILAR</v>
      </c>
      <c r="E314" s="797" t="s">
        <v>96</v>
      </c>
      <c r="F314" s="798">
        <f>'MEMORIAL DE CALCULO'!H2237</f>
        <v>8</v>
      </c>
      <c r="G314" s="1171"/>
      <c r="H314" s="270">
        <f t="shared" si="111"/>
        <v>0</v>
      </c>
      <c r="I314" s="874">
        <f t="shared" si="112"/>
        <v>0</v>
      </c>
      <c r="J314" s="874">
        <f t="shared" si="113"/>
        <v>0</v>
      </c>
      <c r="K314" s="320"/>
    </row>
    <row r="315" spans="1:11" ht="22.15" customHeight="1">
      <c r="A315" s="867"/>
      <c r="B315" s="867"/>
      <c r="C315" s="868" t="s">
        <v>644</v>
      </c>
      <c r="D315" s="321" t="s">
        <v>645</v>
      </c>
      <c r="E315" s="322"/>
      <c r="F315" s="323"/>
      <c r="G315" s="324"/>
      <c r="H315" s="324"/>
      <c r="I315" s="876">
        <f>SUM(I316:I339)</f>
        <v>0</v>
      </c>
      <c r="J315" s="876">
        <f>SUM(J316:J339)</f>
        <v>0</v>
      </c>
      <c r="K315" s="325" t="e">
        <f>J315/$J$685</f>
        <v>#DIV/0!</v>
      </c>
    </row>
    <row r="316" spans="1:11" ht="57" outlineLevel="1">
      <c r="A316" s="246">
        <v>11853</v>
      </c>
      <c r="B316" s="247" t="s">
        <v>67</v>
      </c>
      <c r="C316" s="247" t="s">
        <v>646</v>
      </c>
      <c r="D316" s="872" t="s">
        <v>647</v>
      </c>
      <c r="E316" s="648" t="s">
        <v>55</v>
      </c>
      <c r="F316" s="873">
        <f>'MEMORIAL DE CALCULO'!H2244</f>
        <v>28</v>
      </c>
      <c r="G316" s="1171"/>
      <c r="H316" s="270">
        <f t="shared" si="111"/>
        <v>0</v>
      </c>
      <c r="I316" s="874">
        <f t="shared" ref="I316:I335" si="114">F316*G316</f>
        <v>0</v>
      </c>
      <c r="J316" s="874">
        <f t="shared" ref="J316:J335" si="115">H316*F316</f>
        <v>0</v>
      </c>
      <c r="K316" s="875"/>
    </row>
    <row r="317" spans="1:11" ht="28.5" outlineLevel="1">
      <c r="A317" s="569">
        <v>97599</v>
      </c>
      <c r="B317" s="570" t="s">
        <v>26</v>
      </c>
      <c r="C317" s="570" t="s">
        <v>648</v>
      </c>
      <c r="D317" s="869" t="s">
        <v>649</v>
      </c>
      <c r="E317" s="870" t="s">
        <v>55</v>
      </c>
      <c r="F317" s="871">
        <f>'MEMORIAL DE CALCULO'!H2253</f>
        <v>12</v>
      </c>
      <c r="G317" s="1171"/>
      <c r="H317" s="270">
        <f t="shared" si="111"/>
        <v>0</v>
      </c>
      <c r="I317" s="573">
        <f t="shared" si="114"/>
        <v>0</v>
      </c>
      <c r="J317" s="573">
        <f t="shared" si="115"/>
        <v>0</v>
      </c>
      <c r="K317" s="566"/>
    </row>
    <row r="318" spans="1:11" ht="42.75" outlineLevel="1">
      <c r="A318" s="246">
        <v>1511</v>
      </c>
      <c r="B318" s="247" t="s">
        <v>67</v>
      </c>
      <c r="C318" s="247" t="s">
        <v>650</v>
      </c>
      <c r="D318" s="796" t="s">
        <v>651</v>
      </c>
      <c r="E318" s="797" t="s">
        <v>55</v>
      </c>
      <c r="F318" s="798">
        <f>'MEMORIAL DE CALCULO'!H2256</f>
        <v>7</v>
      </c>
      <c r="G318" s="1171"/>
      <c r="H318" s="270">
        <f t="shared" si="111"/>
        <v>0</v>
      </c>
      <c r="I318" s="874">
        <f t="shared" si="114"/>
        <v>0</v>
      </c>
      <c r="J318" s="874">
        <f t="shared" si="115"/>
        <v>0</v>
      </c>
      <c r="K318" s="244"/>
    </row>
    <row r="319" spans="1:11" outlineLevel="1">
      <c r="A319" s="246">
        <v>12138</v>
      </c>
      <c r="B319" s="247" t="s">
        <v>67</v>
      </c>
      <c r="C319" s="247" t="s">
        <v>652</v>
      </c>
      <c r="D319" s="796" t="s">
        <v>653</v>
      </c>
      <c r="E319" s="797" t="s">
        <v>55</v>
      </c>
      <c r="F319" s="798">
        <f>'MEMORIAL DE CALCULO'!H2259</f>
        <v>7</v>
      </c>
      <c r="G319" s="1171"/>
      <c r="H319" s="270">
        <f t="shared" si="111"/>
        <v>0</v>
      </c>
      <c r="I319" s="874">
        <f t="shared" si="114"/>
        <v>0</v>
      </c>
      <c r="J319" s="874">
        <f t="shared" si="115"/>
        <v>0</v>
      </c>
      <c r="K319" s="320"/>
    </row>
    <row r="320" spans="1:11" ht="42.75" outlineLevel="1">
      <c r="A320" s="246">
        <v>92342</v>
      </c>
      <c r="B320" s="247" t="s">
        <v>26</v>
      </c>
      <c r="C320" s="247" t="s">
        <v>654</v>
      </c>
      <c r="D320" s="796" t="s">
        <v>655</v>
      </c>
      <c r="E320" s="797" t="s">
        <v>246</v>
      </c>
      <c r="F320" s="798">
        <f>'MEMORIAL DE CALCULO'!H2260</f>
        <v>190</v>
      </c>
      <c r="G320" s="1171"/>
      <c r="H320" s="270">
        <f t="shared" si="111"/>
        <v>0</v>
      </c>
      <c r="I320" s="874">
        <f t="shared" si="114"/>
        <v>0</v>
      </c>
      <c r="J320" s="874">
        <f t="shared" si="115"/>
        <v>0</v>
      </c>
      <c r="K320" s="244"/>
    </row>
    <row r="321" spans="1:11" ht="57" outlineLevel="1">
      <c r="A321" s="246">
        <v>92656</v>
      </c>
      <c r="B321" s="247" t="s">
        <v>26</v>
      </c>
      <c r="C321" s="247" t="s">
        <v>656</v>
      </c>
      <c r="D321" s="796" t="s">
        <v>657</v>
      </c>
      <c r="E321" s="797" t="s">
        <v>246</v>
      </c>
      <c r="F321" s="798">
        <f>'MEMORIAL DE CALCULO'!H2262</f>
        <v>20</v>
      </c>
      <c r="G321" s="1171"/>
      <c r="H321" s="270">
        <f t="shared" si="111"/>
        <v>0</v>
      </c>
      <c r="I321" s="874">
        <f t="shared" ref="I321" si="116">F321*G321</f>
        <v>0</v>
      </c>
      <c r="J321" s="874">
        <f t="shared" ref="J321" si="117">H321*F321</f>
        <v>0</v>
      </c>
      <c r="K321" s="244"/>
    </row>
    <row r="322" spans="1:11" ht="28.5" outlineLevel="1">
      <c r="A322" s="246">
        <v>99624</v>
      </c>
      <c r="B322" s="247" t="s">
        <v>26</v>
      </c>
      <c r="C322" s="247" t="s">
        <v>658</v>
      </c>
      <c r="D322" s="796" t="s">
        <v>659</v>
      </c>
      <c r="E322" s="797" t="s">
        <v>55</v>
      </c>
      <c r="F322" s="798">
        <f>'MEMORIAL DE CALCULO'!H2264</f>
        <v>1</v>
      </c>
      <c r="G322" s="1171"/>
      <c r="H322" s="270">
        <f t="shared" si="111"/>
        <v>0</v>
      </c>
      <c r="I322" s="874">
        <f t="shared" si="114"/>
        <v>0</v>
      </c>
      <c r="J322" s="874">
        <f t="shared" si="115"/>
        <v>0</v>
      </c>
      <c r="K322" s="244"/>
    </row>
    <row r="323" spans="1:11" ht="28.5" outlineLevel="1">
      <c r="A323" s="246">
        <v>99633</v>
      </c>
      <c r="B323" s="247" t="s">
        <v>26</v>
      </c>
      <c r="C323" s="247" t="s">
        <v>660</v>
      </c>
      <c r="D323" s="796" t="s">
        <v>661</v>
      </c>
      <c r="E323" s="797" t="s">
        <v>55</v>
      </c>
      <c r="F323" s="798">
        <f>'MEMORIAL DE CALCULO'!H2266</f>
        <v>4</v>
      </c>
      <c r="G323" s="1171"/>
      <c r="H323" s="270">
        <f t="shared" si="111"/>
        <v>0</v>
      </c>
      <c r="I323" s="874">
        <f t="shared" ref="I323:I324" si="118">F323*G323</f>
        <v>0</v>
      </c>
      <c r="J323" s="874">
        <f t="shared" ref="J323:J324" si="119">H323*F323</f>
        <v>0</v>
      </c>
      <c r="K323" s="244"/>
    </row>
    <row r="324" spans="1:11" ht="57" outlineLevel="1">
      <c r="A324" s="246">
        <v>92390</v>
      </c>
      <c r="B324" s="247" t="s">
        <v>26</v>
      </c>
      <c r="C324" s="247" t="s">
        <v>662</v>
      </c>
      <c r="D324" s="796" t="s">
        <v>663</v>
      </c>
      <c r="E324" s="797" t="s">
        <v>55</v>
      </c>
      <c r="F324" s="798">
        <f>'MEMORIAL DE CALCULO'!H2268</f>
        <v>12</v>
      </c>
      <c r="G324" s="1171"/>
      <c r="H324" s="270">
        <f t="shared" si="111"/>
        <v>0</v>
      </c>
      <c r="I324" s="874">
        <f t="shared" si="118"/>
        <v>0</v>
      </c>
      <c r="J324" s="874">
        <f t="shared" si="119"/>
        <v>0</v>
      </c>
      <c r="K324" s="244"/>
    </row>
    <row r="325" spans="1:11" ht="48.75" customHeight="1" outlineLevel="1">
      <c r="A325" s="246">
        <v>92636</v>
      </c>
      <c r="B325" s="247" t="s">
        <v>26</v>
      </c>
      <c r="C325" s="247" t="s">
        <v>664</v>
      </c>
      <c r="D325" s="796" t="s">
        <v>665</v>
      </c>
      <c r="E325" s="797" t="s">
        <v>55</v>
      </c>
      <c r="F325" s="798">
        <f>'MEMORIAL DE CALCULO'!H2270</f>
        <v>8</v>
      </c>
      <c r="G325" s="1171"/>
      <c r="H325" s="270">
        <f t="shared" si="111"/>
        <v>0</v>
      </c>
      <c r="I325" s="874">
        <f t="shared" ref="I325" si="120">F325*G325</f>
        <v>0</v>
      </c>
      <c r="J325" s="874">
        <f t="shared" ref="J325" si="121">H325*F325</f>
        <v>0</v>
      </c>
      <c r="K325" s="244"/>
    </row>
    <row r="326" spans="1:11" ht="28.5" outlineLevel="1">
      <c r="A326" s="246">
        <v>94500</v>
      </c>
      <c r="B326" s="247" t="s">
        <v>26</v>
      </c>
      <c r="C326" s="247" t="s">
        <v>666</v>
      </c>
      <c r="D326" s="796" t="s">
        <v>667</v>
      </c>
      <c r="E326" s="797" t="s">
        <v>55</v>
      </c>
      <c r="F326" s="798">
        <f>'MEMORIAL DE CALCULO'!H2272</f>
        <v>4</v>
      </c>
      <c r="G326" s="1171"/>
      <c r="H326" s="270">
        <f t="shared" si="111"/>
        <v>0</v>
      </c>
      <c r="I326" s="874">
        <f t="shared" si="114"/>
        <v>0</v>
      </c>
      <c r="J326" s="874">
        <f t="shared" si="115"/>
        <v>0</v>
      </c>
      <c r="K326" s="244"/>
    </row>
    <row r="327" spans="1:11" ht="42.75" outlineLevel="1">
      <c r="A327" s="246">
        <v>92357</v>
      </c>
      <c r="B327" s="247" t="s">
        <v>26</v>
      </c>
      <c r="C327" s="247" t="s">
        <v>668</v>
      </c>
      <c r="D327" s="796" t="s">
        <v>669</v>
      </c>
      <c r="E327" s="797" t="s">
        <v>55</v>
      </c>
      <c r="F327" s="798">
        <f>'MEMORIAL DE CALCULO'!H2274</f>
        <v>3</v>
      </c>
      <c r="G327" s="1171"/>
      <c r="H327" s="270">
        <f t="shared" si="111"/>
        <v>0</v>
      </c>
      <c r="I327" s="874">
        <f t="shared" ref="I327" si="122">F327*G327</f>
        <v>0</v>
      </c>
      <c r="J327" s="874">
        <f t="shared" ref="J327" si="123">H327*F327</f>
        <v>0</v>
      </c>
      <c r="K327" s="244"/>
    </row>
    <row r="328" spans="1:11" ht="42.75" outlineLevel="1">
      <c r="A328" s="246">
        <v>92358</v>
      </c>
      <c r="B328" s="247" t="s">
        <v>26</v>
      </c>
      <c r="C328" s="247" t="s">
        <v>670</v>
      </c>
      <c r="D328" s="796" t="s">
        <v>671</v>
      </c>
      <c r="E328" s="797" t="s">
        <v>55</v>
      </c>
      <c r="F328" s="798">
        <f>'MEMORIAL DE CALCULO'!H2276</f>
        <v>4</v>
      </c>
      <c r="G328" s="1171"/>
      <c r="H328" s="270">
        <f t="shared" si="111"/>
        <v>0</v>
      </c>
      <c r="I328" s="874">
        <f t="shared" si="114"/>
        <v>0</v>
      </c>
      <c r="J328" s="874">
        <f t="shared" si="115"/>
        <v>0</v>
      </c>
      <c r="K328" s="244"/>
    </row>
    <row r="329" spans="1:11" ht="28.5" outlineLevel="1">
      <c r="A329" s="246">
        <v>101916</v>
      </c>
      <c r="B329" s="247" t="s">
        <v>26</v>
      </c>
      <c r="C329" s="247" t="s">
        <v>672</v>
      </c>
      <c r="D329" s="796" t="s">
        <v>673</v>
      </c>
      <c r="E329" s="797" t="s">
        <v>55</v>
      </c>
      <c r="F329" s="798">
        <f>'MEMORIAL DE CALCULO'!H2278</f>
        <v>1</v>
      </c>
      <c r="G329" s="1171"/>
      <c r="H329" s="270">
        <f t="shared" si="111"/>
        <v>0</v>
      </c>
      <c r="I329" s="874">
        <f t="shared" si="114"/>
        <v>0</v>
      </c>
      <c r="J329" s="874">
        <f t="shared" si="115"/>
        <v>0</v>
      </c>
      <c r="K329" s="244"/>
    </row>
    <row r="330" spans="1:11" ht="57" outlineLevel="1">
      <c r="A330" s="246">
        <v>7326</v>
      </c>
      <c r="B330" s="247" t="s">
        <v>67</v>
      </c>
      <c r="C330" s="247" t="s">
        <v>674</v>
      </c>
      <c r="D330" s="796" t="s">
        <v>675</v>
      </c>
      <c r="E330" s="797" t="s">
        <v>55</v>
      </c>
      <c r="F330" s="798">
        <f>'MEMORIAL DE CALCULO'!H2280</f>
        <v>2</v>
      </c>
      <c r="G330" s="1171"/>
      <c r="H330" s="270">
        <f t="shared" si="111"/>
        <v>0</v>
      </c>
      <c r="I330" s="874">
        <f t="shared" si="114"/>
        <v>0</v>
      </c>
      <c r="J330" s="874">
        <f t="shared" si="115"/>
        <v>0</v>
      </c>
      <c r="K330" s="244"/>
    </row>
    <row r="331" spans="1:11" ht="28.5" outlineLevel="1">
      <c r="A331" s="648">
        <v>11829</v>
      </c>
      <c r="B331" s="649" t="s">
        <v>67</v>
      </c>
      <c r="C331" s="247" t="s">
        <v>676</v>
      </c>
      <c r="D331" s="796" t="s">
        <v>677</v>
      </c>
      <c r="E331" s="797" t="s">
        <v>55</v>
      </c>
      <c r="F331" s="798">
        <f>'MEMORIAL DE CALCULO'!H2282</f>
        <v>2</v>
      </c>
      <c r="G331" s="1171"/>
      <c r="H331" s="270">
        <f t="shared" si="111"/>
        <v>0</v>
      </c>
      <c r="I331" s="874">
        <f>F331*G331</f>
        <v>0</v>
      </c>
      <c r="J331" s="874">
        <f>H331*F331</f>
        <v>0</v>
      </c>
      <c r="K331" s="320"/>
    </row>
    <row r="332" spans="1:11" ht="28.5" outlineLevel="1">
      <c r="A332" s="648">
        <v>11824</v>
      </c>
      <c r="B332" s="649" t="s">
        <v>67</v>
      </c>
      <c r="C332" s="247" t="s">
        <v>678</v>
      </c>
      <c r="D332" s="796" t="s">
        <v>679</v>
      </c>
      <c r="E332" s="797" t="s">
        <v>55</v>
      </c>
      <c r="F332" s="798">
        <f>'MEMORIAL DE CALCULO'!H2284</f>
        <v>3</v>
      </c>
      <c r="G332" s="1171"/>
      <c r="H332" s="270">
        <f t="shared" si="111"/>
        <v>0</v>
      </c>
      <c r="I332" s="874">
        <f>F332*G332</f>
        <v>0</v>
      </c>
      <c r="J332" s="874">
        <f>H332*F332</f>
        <v>0</v>
      </c>
      <c r="K332" s="320"/>
    </row>
    <row r="333" spans="1:11" ht="33.75" customHeight="1" outlineLevel="1">
      <c r="A333" s="648">
        <v>8058</v>
      </c>
      <c r="B333" s="649" t="s">
        <v>67</v>
      </c>
      <c r="C333" s="247" t="s">
        <v>680</v>
      </c>
      <c r="D333" s="796" t="s">
        <v>681</v>
      </c>
      <c r="E333" s="797" t="s">
        <v>55</v>
      </c>
      <c r="F333" s="798">
        <f>'MEMORIAL DE CALCULO'!H2286</f>
        <v>1</v>
      </c>
      <c r="G333" s="1171"/>
      <c r="H333" s="270">
        <f t="shared" si="111"/>
        <v>0</v>
      </c>
      <c r="I333" s="874">
        <f>F333*G333</f>
        <v>0</v>
      </c>
      <c r="J333" s="874">
        <f>H333*F333</f>
        <v>0</v>
      </c>
      <c r="K333" s="320"/>
    </row>
    <row r="334" spans="1:11" ht="28.5" outlineLevel="1">
      <c r="A334" s="246">
        <v>12016</v>
      </c>
      <c r="B334" s="247" t="s">
        <v>67</v>
      </c>
      <c r="C334" s="247" t="s">
        <v>682</v>
      </c>
      <c r="D334" s="796" t="s">
        <v>683</v>
      </c>
      <c r="E334" s="797" t="s">
        <v>55</v>
      </c>
      <c r="F334" s="798">
        <f>'MEMORIAL DE CALCULO'!H2288</f>
        <v>1</v>
      </c>
      <c r="G334" s="1171"/>
      <c r="H334" s="270">
        <f t="shared" si="111"/>
        <v>0</v>
      </c>
      <c r="I334" s="874">
        <f t="shared" si="114"/>
        <v>0</v>
      </c>
      <c r="J334" s="874">
        <f t="shared" si="115"/>
        <v>0</v>
      </c>
      <c r="K334" s="320"/>
    </row>
    <row r="335" spans="1:11" ht="28.5" outlineLevel="1">
      <c r="A335" s="246">
        <v>9669</v>
      </c>
      <c r="B335" s="247" t="s">
        <v>67</v>
      </c>
      <c r="C335" s="247" t="s">
        <v>684</v>
      </c>
      <c r="D335" s="796" t="s">
        <v>685</v>
      </c>
      <c r="E335" s="797" t="s">
        <v>55</v>
      </c>
      <c r="F335" s="798">
        <f>'MEMORIAL DE CALCULO'!H2290</f>
        <v>7</v>
      </c>
      <c r="G335" s="1171"/>
      <c r="H335" s="270">
        <f t="shared" si="111"/>
        <v>0</v>
      </c>
      <c r="I335" s="874">
        <f t="shared" si="114"/>
        <v>0</v>
      </c>
      <c r="J335" s="874">
        <f t="shared" si="115"/>
        <v>0</v>
      </c>
      <c r="K335" s="320"/>
    </row>
    <row r="336" spans="1:11" outlineLevel="1">
      <c r="A336" s="246">
        <v>9526</v>
      </c>
      <c r="B336" s="247" t="s">
        <v>67</v>
      </c>
      <c r="C336" s="247" t="s">
        <v>686</v>
      </c>
      <c r="D336" s="796" t="s">
        <v>687</v>
      </c>
      <c r="E336" s="797" t="s">
        <v>55</v>
      </c>
      <c r="F336" s="798">
        <f>'MEMORIAL DE CALCULO'!H2292</f>
        <v>30</v>
      </c>
      <c r="G336" s="1171"/>
      <c r="H336" s="270">
        <f t="shared" si="111"/>
        <v>0</v>
      </c>
      <c r="I336" s="874">
        <f>F336*G336</f>
        <v>0</v>
      </c>
      <c r="J336" s="874">
        <f>H336*F336</f>
        <v>0</v>
      </c>
      <c r="K336" s="320"/>
    </row>
    <row r="337" spans="1:11" outlineLevel="1">
      <c r="A337" s="246">
        <v>12498</v>
      </c>
      <c r="B337" s="247" t="s">
        <v>67</v>
      </c>
      <c r="C337" s="247" t="s">
        <v>688</v>
      </c>
      <c r="D337" s="796" t="s">
        <v>689</v>
      </c>
      <c r="E337" s="797" t="s">
        <v>96</v>
      </c>
      <c r="F337" s="798">
        <f>'MEMORIAL DE CALCULO'!H2294</f>
        <v>10</v>
      </c>
      <c r="G337" s="1171"/>
      <c r="H337" s="270">
        <f t="shared" si="111"/>
        <v>0</v>
      </c>
      <c r="I337" s="874">
        <f>F337*G337</f>
        <v>0</v>
      </c>
      <c r="J337" s="874">
        <f>H337*F337</f>
        <v>0</v>
      </c>
      <c r="K337" s="320"/>
    </row>
    <row r="338" spans="1:11" outlineLevel="1">
      <c r="A338" s="246">
        <v>4190</v>
      </c>
      <c r="B338" s="247" t="s">
        <v>67</v>
      </c>
      <c r="C338" s="247" t="s">
        <v>690</v>
      </c>
      <c r="D338" s="796" t="s">
        <v>691</v>
      </c>
      <c r="E338" s="797" t="s">
        <v>55</v>
      </c>
      <c r="F338" s="798">
        <f>'MEMORIAL DE CALCULO'!H2296</f>
        <v>10</v>
      </c>
      <c r="G338" s="1171"/>
      <c r="H338" s="270">
        <f t="shared" si="111"/>
        <v>0</v>
      </c>
      <c r="I338" s="874">
        <f>F338*G338</f>
        <v>0</v>
      </c>
      <c r="J338" s="874">
        <f>H338*F338</f>
        <v>0</v>
      </c>
      <c r="K338" s="320"/>
    </row>
    <row r="339" spans="1:11" ht="28.5" outlineLevel="1">
      <c r="A339" s="246">
        <v>12141</v>
      </c>
      <c r="B339" s="247" t="s">
        <v>67</v>
      </c>
      <c r="C339" s="247" t="s">
        <v>692</v>
      </c>
      <c r="D339" s="796" t="s">
        <v>693</v>
      </c>
      <c r="E339" s="797" t="s">
        <v>246</v>
      </c>
      <c r="F339" s="798">
        <f>'MEMORIAL DE CALCULO'!H2298</f>
        <v>110</v>
      </c>
      <c r="G339" s="1171"/>
      <c r="H339" s="270">
        <f t="shared" si="111"/>
        <v>0</v>
      </c>
      <c r="I339" s="874">
        <f>F339*G339</f>
        <v>0</v>
      </c>
      <c r="J339" s="874">
        <f>H339*F339</f>
        <v>0</v>
      </c>
      <c r="K339" s="320"/>
    </row>
    <row r="340" spans="1:11" ht="22.15" customHeight="1">
      <c r="A340" s="347"/>
      <c r="B340" s="347"/>
      <c r="C340" s="347" t="s">
        <v>694</v>
      </c>
      <c r="D340" s="23" t="s">
        <v>695</v>
      </c>
      <c r="E340" s="22"/>
      <c r="F340" s="50"/>
      <c r="G340" s="28"/>
      <c r="H340" s="28"/>
      <c r="I340" s="245">
        <f>I341+I398+I446+I456+I484+I520+I528+I577</f>
        <v>0</v>
      </c>
      <c r="J340" s="245">
        <f>J341+J398+J446+J456+J484+J520+J528+J577</f>
        <v>0</v>
      </c>
      <c r="K340" s="26" t="e">
        <f>J340/$J$685</f>
        <v>#DIV/0!</v>
      </c>
    </row>
    <row r="341" spans="1:11" ht="18" customHeight="1" outlineLevel="1">
      <c r="A341" s="251"/>
      <c r="B341" s="249"/>
      <c r="C341" s="249" t="s">
        <v>696</v>
      </c>
      <c r="D341" s="785" t="s">
        <v>697</v>
      </c>
      <c r="E341" s="983"/>
      <c r="F341" s="786"/>
      <c r="G341" s="787"/>
      <c r="H341" s="31"/>
      <c r="I341" s="250">
        <f>SUM(I342:I397)</f>
        <v>0</v>
      </c>
      <c r="J341" s="250">
        <f>SUM(J342:J397)</f>
        <v>0</v>
      </c>
      <c r="K341" s="32" t="e">
        <f>J341/$J$685</f>
        <v>#DIV/0!</v>
      </c>
    </row>
    <row r="342" spans="1:11" ht="34.5" customHeight="1" outlineLevel="2">
      <c r="A342" s="246">
        <v>91677</v>
      </c>
      <c r="B342" s="247" t="s">
        <v>26</v>
      </c>
      <c r="C342" s="247" t="s">
        <v>698</v>
      </c>
      <c r="D342" s="784" t="s">
        <v>699</v>
      </c>
      <c r="E342" s="567" t="s">
        <v>40</v>
      </c>
      <c r="F342" s="782">
        <f>'MEMORIAL DE CALCULO'!H22</f>
        <v>176</v>
      </c>
      <c r="G342" s="1171"/>
      <c r="H342" s="270">
        <f t="shared" ref="H342:H405" si="124">G342*$I$5</f>
        <v>0</v>
      </c>
      <c r="I342" s="874">
        <f>F342*G342</f>
        <v>0</v>
      </c>
      <c r="J342" s="874">
        <f>F342*H342</f>
        <v>0</v>
      </c>
      <c r="K342" s="566"/>
    </row>
    <row r="343" spans="1:11" ht="28.5" outlineLevel="2">
      <c r="A343" s="253">
        <v>2990</v>
      </c>
      <c r="B343" s="254" t="s">
        <v>67</v>
      </c>
      <c r="C343" s="247" t="s">
        <v>700</v>
      </c>
      <c r="D343" s="774" t="s">
        <v>701</v>
      </c>
      <c r="E343" s="353" t="s">
        <v>55</v>
      </c>
      <c r="F343" s="362">
        <f>'MEMORIAL DE CALCULO'!H2304</f>
        <v>176</v>
      </c>
      <c r="G343" s="1171"/>
      <c r="H343" s="270">
        <f t="shared" si="124"/>
        <v>0</v>
      </c>
      <c r="I343" s="874">
        <f t="shared" ref="I343:I397" si="125">G343*F343</f>
        <v>0</v>
      </c>
      <c r="J343" s="874">
        <f t="shared" ref="J343:J397" si="126">H343*F343</f>
        <v>0</v>
      </c>
      <c r="K343" s="244"/>
    </row>
    <row r="344" spans="1:11" ht="28.5" outlineLevel="2">
      <c r="A344" s="246">
        <v>9686</v>
      </c>
      <c r="B344" s="254" t="s">
        <v>67</v>
      </c>
      <c r="C344" s="247" t="s">
        <v>702</v>
      </c>
      <c r="D344" s="784" t="s">
        <v>703</v>
      </c>
      <c r="E344" s="567" t="s">
        <v>55</v>
      </c>
      <c r="F344" s="739">
        <f>'MEMORIAL DE CALCULO'!H2305</f>
        <v>1</v>
      </c>
      <c r="G344" s="1171"/>
      <c r="H344" s="270">
        <f t="shared" si="124"/>
        <v>0</v>
      </c>
      <c r="I344" s="874">
        <f t="shared" si="125"/>
        <v>0</v>
      </c>
      <c r="J344" s="874">
        <f t="shared" si="126"/>
        <v>0</v>
      </c>
      <c r="K344" s="566"/>
    </row>
    <row r="345" spans="1:11" ht="28.5" outlineLevel="2">
      <c r="A345" s="246">
        <v>8070</v>
      </c>
      <c r="B345" s="254" t="s">
        <v>67</v>
      </c>
      <c r="C345" s="247" t="s">
        <v>704</v>
      </c>
      <c r="D345" s="774" t="s">
        <v>705</v>
      </c>
      <c r="E345" s="353" t="s">
        <v>246</v>
      </c>
      <c r="F345" s="362">
        <f>'MEMORIAL DE CALCULO'!H2307</f>
        <v>28.799999999999997</v>
      </c>
      <c r="G345" s="1171"/>
      <c r="H345" s="270">
        <f t="shared" si="124"/>
        <v>0</v>
      </c>
      <c r="I345" s="874">
        <f t="shared" si="125"/>
        <v>0</v>
      </c>
      <c r="J345" s="874">
        <f t="shared" si="126"/>
        <v>0</v>
      </c>
      <c r="K345" s="244"/>
    </row>
    <row r="346" spans="1:11" ht="29.25" customHeight="1" outlineLevel="2">
      <c r="A346" s="246" t="s">
        <v>706</v>
      </c>
      <c r="B346" s="254"/>
      <c r="C346" s="247" t="s">
        <v>707</v>
      </c>
      <c r="D346" s="774" t="s">
        <v>708</v>
      </c>
      <c r="E346" s="353" t="s">
        <v>246</v>
      </c>
      <c r="F346" s="362">
        <f>'MEMORIAL DE CALCULO'!H2309</f>
        <v>348</v>
      </c>
      <c r="G346" s="1171"/>
      <c r="H346" s="270">
        <f t="shared" si="124"/>
        <v>0</v>
      </c>
      <c r="I346" s="874">
        <f t="shared" si="125"/>
        <v>0</v>
      </c>
      <c r="J346" s="874">
        <f t="shared" si="126"/>
        <v>0</v>
      </c>
      <c r="K346" s="244"/>
    </row>
    <row r="347" spans="1:11" ht="28.5" outlineLevel="2">
      <c r="A347" s="246">
        <v>7918</v>
      </c>
      <c r="B347" s="247" t="s">
        <v>67</v>
      </c>
      <c r="C347" s="247" t="s">
        <v>709</v>
      </c>
      <c r="D347" s="774" t="s">
        <v>710</v>
      </c>
      <c r="E347" s="353" t="s">
        <v>246</v>
      </c>
      <c r="F347" s="362">
        <f>'MEMORIAL DE CALCULO'!H2311</f>
        <v>45.6</v>
      </c>
      <c r="G347" s="1171"/>
      <c r="H347" s="270">
        <f t="shared" si="124"/>
        <v>0</v>
      </c>
      <c r="I347" s="874">
        <f t="shared" si="125"/>
        <v>0</v>
      </c>
      <c r="J347" s="874">
        <f t="shared" si="126"/>
        <v>0</v>
      </c>
      <c r="K347" s="244"/>
    </row>
    <row r="348" spans="1:11" ht="27.75" customHeight="1" outlineLevel="2">
      <c r="A348" s="246">
        <v>8297</v>
      </c>
      <c r="B348" s="247" t="s">
        <v>67</v>
      </c>
      <c r="C348" s="247" t="s">
        <v>711</v>
      </c>
      <c r="D348" s="774" t="s">
        <v>712</v>
      </c>
      <c r="E348" s="353" t="s">
        <v>170</v>
      </c>
      <c r="F348" s="362">
        <f>'MEMORIAL DE CALCULO'!H2313</f>
        <v>25.543237250554327</v>
      </c>
      <c r="G348" s="1171"/>
      <c r="H348" s="270">
        <f t="shared" si="124"/>
        <v>0</v>
      </c>
      <c r="I348" s="874">
        <f t="shared" si="125"/>
        <v>0</v>
      </c>
      <c r="J348" s="874">
        <f t="shared" si="126"/>
        <v>0</v>
      </c>
      <c r="K348" s="244"/>
    </row>
    <row r="349" spans="1:11" ht="27.6" customHeight="1" outlineLevel="2">
      <c r="A349" s="246" t="str">
        <f>'COMP. ELÉTRICA'!A186</f>
        <v>COMP/ELE -16</v>
      </c>
      <c r="B349" s="247"/>
      <c r="C349" s="247" t="s">
        <v>713</v>
      </c>
      <c r="D349" s="774" t="s">
        <v>714</v>
      </c>
      <c r="E349" s="353" t="s">
        <v>246</v>
      </c>
      <c r="F349" s="362">
        <f>'MEMORIAL DE CALCULO'!H2315</f>
        <v>132</v>
      </c>
      <c r="G349" s="1171"/>
      <c r="H349" s="270">
        <f t="shared" si="124"/>
        <v>0</v>
      </c>
      <c r="I349" s="874">
        <f t="shared" si="125"/>
        <v>0</v>
      </c>
      <c r="J349" s="874">
        <f t="shared" si="126"/>
        <v>0</v>
      </c>
      <c r="K349" s="244"/>
    </row>
    <row r="350" spans="1:11" ht="24" customHeight="1" outlineLevel="2">
      <c r="A350" s="246">
        <v>3981</v>
      </c>
      <c r="B350" s="247" t="s">
        <v>67</v>
      </c>
      <c r="C350" s="247" t="s">
        <v>715</v>
      </c>
      <c r="D350" s="774" t="s">
        <v>716</v>
      </c>
      <c r="E350" s="353" t="s">
        <v>55</v>
      </c>
      <c r="F350" s="362">
        <f>'MEMORIAL DE CALCULO'!H2317</f>
        <v>1</v>
      </c>
      <c r="G350" s="1171"/>
      <c r="H350" s="270">
        <f t="shared" si="124"/>
        <v>0</v>
      </c>
      <c r="I350" s="874">
        <f t="shared" si="125"/>
        <v>0</v>
      </c>
      <c r="J350" s="874">
        <f t="shared" si="126"/>
        <v>0</v>
      </c>
      <c r="K350" s="244"/>
    </row>
    <row r="351" spans="1:11" ht="42.75" outlineLevel="2">
      <c r="A351" s="246" t="s">
        <v>717</v>
      </c>
      <c r="B351" s="247" t="s">
        <v>26</v>
      </c>
      <c r="C351" s="247" t="s">
        <v>718</v>
      </c>
      <c r="D351" s="774" t="s">
        <v>719</v>
      </c>
      <c r="E351" s="353" t="s">
        <v>55</v>
      </c>
      <c r="F351" s="362">
        <f>'MEMORIAL DE CALCULO'!H2319</f>
        <v>20</v>
      </c>
      <c r="G351" s="1171"/>
      <c r="H351" s="270">
        <f t="shared" si="124"/>
        <v>0</v>
      </c>
      <c r="I351" s="874">
        <f t="shared" si="125"/>
        <v>0</v>
      </c>
      <c r="J351" s="874">
        <f t="shared" si="126"/>
        <v>0</v>
      </c>
      <c r="K351" s="244"/>
    </row>
    <row r="352" spans="1:11" ht="28.5" outlineLevel="2">
      <c r="A352" s="246">
        <v>9379</v>
      </c>
      <c r="B352" s="247" t="s">
        <v>67</v>
      </c>
      <c r="C352" s="247" t="s">
        <v>720</v>
      </c>
      <c r="D352" s="774" t="s">
        <v>721</v>
      </c>
      <c r="E352" s="353" t="s">
        <v>55</v>
      </c>
      <c r="F352" s="362">
        <f>'MEMORIAL DE CALCULO'!H2321</f>
        <v>7</v>
      </c>
      <c r="G352" s="1171"/>
      <c r="H352" s="270">
        <f t="shared" si="124"/>
        <v>0</v>
      </c>
      <c r="I352" s="874">
        <f t="shared" si="125"/>
        <v>0</v>
      </c>
      <c r="J352" s="874">
        <f t="shared" si="126"/>
        <v>0</v>
      </c>
      <c r="K352" s="244"/>
    </row>
    <row r="353" spans="1:11" ht="23.45" customHeight="1" outlineLevel="2">
      <c r="A353" s="246" t="s">
        <v>722</v>
      </c>
      <c r="B353" s="247" t="s">
        <v>67</v>
      </c>
      <c r="C353" s="247" t="s">
        <v>723</v>
      </c>
      <c r="D353" s="774" t="s">
        <v>724</v>
      </c>
      <c r="E353" s="353" t="s">
        <v>55</v>
      </c>
      <c r="F353" s="362">
        <f>'MEMORIAL DE CALCULO'!H2323</f>
        <v>1</v>
      </c>
      <c r="G353" s="1171"/>
      <c r="H353" s="270">
        <f t="shared" si="124"/>
        <v>0</v>
      </c>
      <c r="I353" s="874">
        <f t="shared" si="125"/>
        <v>0</v>
      </c>
      <c r="J353" s="874">
        <f t="shared" si="126"/>
        <v>0</v>
      </c>
      <c r="K353" s="244"/>
    </row>
    <row r="354" spans="1:11" ht="28.5" outlineLevel="2">
      <c r="A354" s="246" t="s">
        <v>725</v>
      </c>
      <c r="B354" s="247" t="s">
        <v>67</v>
      </c>
      <c r="C354" s="247" t="s">
        <v>726</v>
      </c>
      <c r="D354" s="774" t="s">
        <v>727</v>
      </c>
      <c r="E354" s="353" t="s">
        <v>55</v>
      </c>
      <c r="F354" s="362">
        <f>'MEMORIAL DE CALCULO'!H2325</f>
        <v>1</v>
      </c>
      <c r="G354" s="1171"/>
      <c r="H354" s="270">
        <f t="shared" si="124"/>
        <v>0</v>
      </c>
      <c r="I354" s="874">
        <f t="shared" si="125"/>
        <v>0</v>
      </c>
      <c r="J354" s="874">
        <f t="shared" si="126"/>
        <v>0</v>
      </c>
      <c r="K354" s="244"/>
    </row>
    <row r="355" spans="1:11" ht="28.5" outlineLevel="2">
      <c r="A355" s="246">
        <v>11730</v>
      </c>
      <c r="B355" s="247" t="s">
        <v>67</v>
      </c>
      <c r="C355" s="247" t="s">
        <v>728</v>
      </c>
      <c r="D355" s="774" t="s">
        <v>729</v>
      </c>
      <c r="E355" s="353" t="s">
        <v>55</v>
      </c>
      <c r="F355" s="362">
        <f>'MEMORIAL DE CALCULO'!H2327</f>
        <v>7</v>
      </c>
      <c r="G355" s="1171"/>
      <c r="H355" s="270">
        <f t="shared" si="124"/>
        <v>0</v>
      </c>
      <c r="I355" s="874">
        <f t="shared" si="125"/>
        <v>0</v>
      </c>
      <c r="J355" s="874">
        <f t="shared" si="126"/>
        <v>0</v>
      </c>
      <c r="K355" s="244"/>
    </row>
    <row r="356" spans="1:11" ht="26.25" customHeight="1" outlineLevel="2">
      <c r="A356" s="246">
        <v>2942</v>
      </c>
      <c r="B356" s="247" t="s">
        <v>67</v>
      </c>
      <c r="C356" s="247" t="s">
        <v>730</v>
      </c>
      <c r="D356" s="774" t="s">
        <v>731</v>
      </c>
      <c r="E356" s="353" t="s">
        <v>55</v>
      </c>
      <c r="F356" s="362">
        <f>'MEMORIAL DE CALCULO'!H2329</f>
        <v>1</v>
      </c>
      <c r="G356" s="1171"/>
      <c r="H356" s="270">
        <f t="shared" si="124"/>
        <v>0</v>
      </c>
      <c r="I356" s="874">
        <f t="shared" si="125"/>
        <v>0</v>
      </c>
      <c r="J356" s="874">
        <f t="shared" si="126"/>
        <v>0</v>
      </c>
      <c r="K356" s="244"/>
    </row>
    <row r="357" spans="1:11" ht="28.5" outlineLevel="2">
      <c r="A357" s="246">
        <v>3994</v>
      </c>
      <c r="B357" s="247" t="s">
        <v>67</v>
      </c>
      <c r="C357" s="247" t="s">
        <v>732</v>
      </c>
      <c r="D357" s="774" t="s">
        <v>733</v>
      </c>
      <c r="E357" s="353" t="s">
        <v>55</v>
      </c>
      <c r="F357" s="362">
        <f>'MEMORIAL DE CALCULO'!H2331</f>
        <v>2</v>
      </c>
      <c r="G357" s="1171"/>
      <c r="H357" s="270">
        <f t="shared" si="124"/>
        <v>0</v>
      </c>
      <c r="I357" s="874">
        <f t="shared" si="125"/>
        <v>0</v>
      </c>
      <c r="J357" s="874">
        <f t="shared" si="126"/>
        <v>0</v>
      </c>
      <c r="K357" s="244"/>
    </row>
    <row r="358" spans="1:11" ht="26.25" customHeight="1" outlineLevel="2">
      <c r="A358" s="246">
        <v>3243</v>
      </c>
      <c r="B358" s="247" t="s">
        <v>67</v>
      </c>
      <c r="C358" s="247" t="s">
        <v>734</v>
      </c>
      <c r="D358" s="774" t="s">
        <v>735</v>
      </c>
      <c r="E358" s="353" t="s">
        <v>55</v>
      </c>
      <c r="F358" s="362">
        <f>'MEMORIAL DE CALCULO'!H2333</f>
        <v>3</v>
      </c>
      <c r="G358" s="1171"/>
      <c r="H358" s="270">
        <f t="shared" si="124"/>
        <v>0</v>
      </c>
      <c r="I358" s="874">
        <f t="shared" si="125"/>
        <v>0</v>
      </c>
      <c r="J358" s="874">
        <f t="shared" si="126"/>
        <v>0</v>
      </c>
      <c r="K358" s="244"/>
    </row>
    <row r="359" spans="1:11" ht="24.75" customHeight="1" outlineLevel="2">
      <c r="A359" s="246">
        <v>2864</v>
      </c>
      <c r="B359" s="247" t="s">
        <v>67</v>
      </c>
      <c r="C359" s="247" t="s">
        <v>736</v>
      </c>
      <c r="D359" s="774" t="s">
        <v>737</v>
      </c>
      <c r="E359" s="353" t="s">
        <v>55</v>
      </c>
      <c r="F359" s="362">
        <f>'MEMORIAL DE CALCULO'!H2335</f>
        <v>3</v>
      </c>
      <c r="G359" s="1171"/>
      <c r="H359" s="270">
        <f t="shared" si="124"/>
        <v>0</v>
      </c>
      <c r="I359" s="874">
        <f t="shared" si="125"/>
        <v>0</v>
      </c>
      <c r="J359" s="874">
        <f t="shared" si="126"/>
        <v>0</v>
      </c>
      <c r="K359" s="244"/>
    </row>
    <row r="360" spans="1:11" ht="25.5" customHeight="1" outlineLevel="2">
      <c r="A360" s="246">
        <v>469</v>
      </c>
      <c r="B360" s="247" t="s">
        <v>67</v>
      </c>
      <c r="C360" s="247" t="s">
        <v>738</v>
      </c>
      <c r="D360" s="774" t="s">
        <v>739</v>
      </c>
      <c r="E360" s="353" t="s">
        <v>55</v>
      </c>
      <c r="F360" s="362">
        <f>'MEMORIAL DE CALCULO'!H2337</f>
        <v>3</v>
      </c>
      <c r="G360" s="1171"/>
      <c r="H360" s="270">
        <f t="shared" si="124"/>
        <v>0</v>
      </c>
      <c r="I360" s="874">
        <f t="shared" si="125"/>
        <v>0</v>
      </c>
      <c r="J360" s="874">
        <f t="shared" si="126"/>
        <v>0</v>
      </c>
      <c r="K360" s="244"/>
    </row>
    <row r="361" spans="1:11" ht="24" customHeight="1" outlineLevel="2">
      <c r="A361" s="246" t="str">
        <f>'COMP. ELÉTRICA'!A98</f>
        <v>COMP/ELE - 08</v>
      </c>
      <c r="B361" s="247"/>
      <c r="C361" s="247" t="s">
        <v>740</v>
      </c>
      <c r="D361" s="774" t="s">
        <v>741</v>
      </c>
      <c r="E361" s="353" t="s">
        <v>55</v>
      </c>
      <c r="F361" s="362">
        <f>'MEMORIAL DE CALCULO'!H2339</f>
        <v>3</v>
      </c>
      <c r="G361" s="1171"/>
      <c r="H361" s="270">
        <f t="shared" si="124"/>
        <v>0</v>
      </c>
      <c r="I361" s="874">
        <f t="shared" si="125"/>
        <v>0</v>
      </c>
      <c r="J361" s="874">
        <f t="shared" si="126"/>
        <v>0</v>
      </c>
      <c r="K361" s="244"/>
    </row>
    <row r="362" spans="1:11" ht="42.75" outlineLevel="2">
      <c r="A362" s="246">
        <v>9915</v>
      </c>
      <c r="B362" s="247" t="s">
        <v>67</v>
      </c>
      <c r="C362" s="247" t="s">
        <v>742</v>
      </c>
      <c r="D362" s="774" t="s">
        <v>743</v>
      </c>
      <c r="E362" s="353" t="s">
        <v>55</v>
      </c>
      <c r="F362" s="362">
        <f>'MEMORIAL DE CALCULO'!H2341</f>
        <v>3</v>
      </c>
      <c r="G362" s="1171"/>
      <c r="H362" s="270">
        <f t="shared" si="124"/>
        <v>0</v>
      </c>
      <c r="I362" s="874">
        <f t="shared" si="125"/>
        <v>0</v>
      </c>
      <c r="J362" s="874">
        <f t="shared" si="126"/>
        <v>0</v>
      </c>
      <c r="K362" s="244"/>
    </row>
    <row r="363" spans="1:11" ht="28.5" outlineLevel="2">
      <c r="A363" s="246">
        <v>2885</v>
      </c>
      <c r="B363" s="247" t="s">
        <v>67</v>
      </c>
      <c r="C363" s="247" t="s">
        <v>744</v>
      </c>
      <c r="D363" s="774" t="s">
        <v>745</v>
      </c>
      <c r="E363" s="353" t="s">
        <v>55</v>
      </c>
      <c r="F363" s="362">
        <f>'MEMORIAL DE CALCULO'!H2343</f>
        <v>9</v>
      </c>
      <c r="G363" s="1171"/>
      <c r="H363" s="270">
        <f t="shared" si="124"/>
        <v>0</v>
      </c>
      <c r="I363" s="874">
        <f t="shared" si="125"/>
        <v>0</v>
      </c>
      <c r="J363" s="874">
        <f t="shared" si="126"/>
        <v>0</v>
      </c>
      <c r="K363" s="244"/>
    </row>
    <row r="364" spans="1:11" ht="25.9" customHeight="1" outlineLevel="2">
      <c r="A364" s="246">
        <v>2833</v>
      </c>
      <c r="B364" s="247" t="s">
        <v>67</v>
      </c>
      <c r="C364" s="247" t="s">
        <v>746</v>
      </c>
      <c r="D364" s="774" t="s">
        <v>747</v>
      </c>
      <c r="E364" s="353" t="s">
        <v>55</v>
      </c>
      <c r="F364" s="362">
        <f>'MEMORIAL DE CALCULO'!H2345</f>
        <v>12</v>
      </c>
      <c r="G364" s="1171"/>
      <c r="H364" s="270">
        <f t="shared" si="124"/>
        <v>0</v>
      </c>
      <c r="I364" s="874">
        <f t="shared" si="125"/>
        <v>0</v>
      </c>
      <c r="J364" s="874">
        <f t="shared" si="126"/>
        <v>0</v>
      </c>
      <c r="K364" s="244"/>
    </row>
    <row r="365" spans="1:11" ht="42.75" outlineLevel="2">
      <c r="A365" s="246" t="s">
        <v>748</v>
      </c>
      <c r="B365" s="247" t="s">
        <v>67</v>
      </c>
      <c r="C365" s="247" t="s">
        <v>749</v>
      </c>
      <c r="D365" s="774" t="s">
        <v>750</v>
      </c>
      <c r="E365" s="353" t="s">
        <v>55</v>
      </c>
      <c r="F365" s="362">
        <f>'MEMORIAL DE CALCULO'!H2347</f>
        <v>9</v>
      </c>
      <c r="G365" s="1171"/>
      <c r="H365" s="270">
        <f t="shared" si="124"/>
        <v>0</v>
      </c>
      <c r="I365" s="874">
        <f t="shared" si="125"/>
        <v>0</v>
      </c>
      <c r="J365" s="874">
        <f t="shared" si="126"/>
        <v>0</v>
      </c>
      <c r="K365" s="244"/>
    </row>
    <row r="366" spans="1:11" ht="28.5" outlineLevel="2">
      <c r="A366" s="246">
        <v>3467</v>
      </c>
      <c r="B366" s="247" t="s">
        <v>67</v>
      </c>
      <c r="C366" s="246" t="s">
        <v>751</v>
      </c>
      <c r="D366" s="774" t="s">
        <v>752</v>
      </c>
      <c r="E366" s="353" t="s">
        <v>55</v>
      </c>
      <c r="F366" s="362">
        <f>'MEMORIAL DE CALCULO'!H2349</f>
        <v>8</v>
      </c>
      <c r="G366" s="1171"/>
      <c r="H366" s="270">
        <f t="shared" si="124"/>
        <v>0</v>
      </c>
      <c r="I366" s="874">
        <f t="shared" si="125"/>
        <v>0</v>
      </c>
      <c r="J366" s="874">
        <f t="shared" si="126"/>
        <v>0</v>
      </c>
      <c r="K366" s="244"/>
    </row>
    <row r="367" spans="1:11" ht="20.45" customHeight="1" outlineLevel="2">
      <c r="A367" s="246">
        <v>2933</v>
      </c>
      <c r="B367" s="247" t="s">
        <v>67</v>
      </c>
      <c r="C367" s="247" t="s">
        <v>753</v>
      </c>
      <c r="D367" s="774" t="s">
        <v>754</v>
      </c>
      <c r="E367" s="353" t="s">
        <v>55</v>
      </c>
      <c r="F367" s="362">
        <f>'MEMORIAL DE CALCULO'!H2351</f>
        <v>8</v>
      </c>
      <c r="G367" s="1171"/>
      <c r="H367" s="270">
        <f t="shared" si="124"/>
        <v>0</v>
      </c>
      <c r="I367" s="874">
        <f t="shared" si="125"/>
        <v>0</v>
      </c>
      <c r="J367" s="874">
        <f t="shared" si="126"/>
        <v>0</v>
      </c>
      <c r="K367" s="244"/>
    </row>
    <row r="368" spans="1:11" ht="42.75" outlineLevel="2">
      <c r="A368" s="246">
        <v>7380</v>
      </c>
      <c r="B368" s="247" t="s">
        <v>67</v>
      </c>
      <c r="C368" s="247" t="s">
        <v>755</v>
      </c>
      <c r="D368" s="774" t="s">
        <v>756</v>
      </c>
      <c r="E368" s="353" t="s">
        <v>55</v>
      </c>
      <c r="F368" s="362">
        <f>'MEMORIAL DE CALCULO'!H2353</f>
        <v>18</v>
      </c>
      <c r="G368" s="1171"/>
      <c r="H368" s="270">
        <f t="shared" si="124"/>
        <v>0</v>
      </c>
      <c r="I368" s="874">
        <f t="shared" si="125"/>
        <v>0</v>
      </c>
      <c r="J368" s="874">
        <f t="shared" si="126"/>
        <v>0</v>
      </c>
      <c r="K368" s="244"/>
    </row>
    <row r="369" spans="1:11" ht="42.75" outlineLevel="2">
      <c r="A369" s="246" t="s">
        <v>757</v>
      </c>
      <c r="B369" s="247" t="s">
        <v>67</v>
      </c>
      <c r="C369" s="247" t="s">
        <v>758</v>
      </c>
      <c r="D369" s="774" t="s">
        <v>759</v>
      </c>
      <c r="E369" s="353" t="s">
        <v>55</v>
      </c>
      <c r="F369" s="362">
        <f>'MEMORIAL DE CALCULO'!H2355</f>
        <v>18</v>
      </c>
      <c r="G369" s="1171"/>
      <c r="H369" s="270">
        <f t="shared" si="124"/>
        <v>0</v>
      </c>
      <c r="I369" s="874">
        <f t="shared" si="125"/>
        <v>0</v>
      </c>
      <c r="J369" s="874">
        <f t="shared" si="126"/>
        <v>0</v>
      </c>
      <c r="K369" s="244"/>
    </row>
    <row r="370" spans="1:11" ht="21" customHeight="1" outlineLevel="2">
      <c r="A370" s="246">
        <v>4135</v>
      </c>
      <c r="B370" s="247" t="s">
        <v>67</v>
      </c>
      <c r="C370" s="247" t="s">
        <v>760</v>
      </c>
      <c r="D370" s="774" t="s">
        <v>761</v>
      </c>
      <c r="E370" s="353" t="s">
        <v>55</v>
      </c>
      <c r="F370" s="362">
        <f>'MEMORIAL DE CALCULO'!H2357</f>
        <v>18</v>
      </c>
      <c r="G370" s="1171"/>
      <c r="H370" s="270">
        <f t="shared" si="124"/>
        <v>0</v>
      </c>
      <c r="I370" s="874">
        <f t="shared" si="125"/>
        <v>0</v>
      </c>
      <c r="J370" s="874">
        <f t="shared" si="126"/>
        <v>0</v>
      </c>
      <c r="K370" s="244"/>
    </row>
    <row r="371" spans="1:11" ht="18" customHeight="1" outlineLevel="2">
      <c r="A371" s="246">
        <v>2934</v>
      </c>
      <c r="B371" s="247" t="s">
        <v>67</v>
      </c>
      <c r="C371" s="247" t="s">
        <v>762</v>
      </c>
      <c r="D371" s="774" t="s">
        <v>763</v>
      </c>
      <c r="E371" s="353" t="s">
        <v>55</v>
      </c>
      <c r="F371" s="362">
        <f>'MEMORIAL DE CALCULO'!H2359</f>
        <v>22</v>
      </c>
      <c r="G371" s="1171"/>
      <c r="H371" s="270">
        <f t="shared" si="124"/>
        <v>0</v>
      </c>
      <c r="I371" s="874">
        <f t="shared" si="125"/>
        <v>0</v>
      </c>
      <c r="J371" s="874">
        <f t="shared" si="126"/>
        <v>0</v>
      </c>
      <c r="K371" s="244"/>
    </row>
    <row r="372" spans="1:11" ht="17.45" customHeight="1" outlineLevel="2">
      <c r="A372" s="246">
        <v>4136</v>
      </c>
      <c r="B372" s="247" t="s">
        <v>67</v>
      </c>
      <c r="C372" s="247" t="s">
        <v>764</v>
      </c>
      <c r="D372" s="774" t="s">
        <v>765</v>
      </c>
      <c r="E372" s="353" t="s">
        <v>55</v>
      </c>
      <c r="F372" s="362">
        <f>'MEMORIAL DE CALCULO'!H2361</f>
        <v>20</v>
      </c>
      <c r="G372" s="1171"/>
      <c r="H372" s="270">
        <f t="shared" si="124"/>
        <v>0</v>
      </c>
      <c r="I372" s="874">
        <f t="shared" si="125"/>
        <v>0</v>
      </c>
      <c r="J372" s="874">
        <f t="shared" si="126"/>
        <v>0</v>
      </c>
      <c r="K372" s="244"/>
    </row>
    <row r="373" spans="1:11" outlineLevel="2">
      <c r="A373" s="246">
        <v>2953</v>
      </c>
      <c r="B373" s="247" t="s">
        <v>67</v>
      </c>
      <c r="C373" s="247" t="s">
        <v>766</v>
      </c>
      <c r="D373" s="774" t="s">
        <v>767</v>
      </c>
      <c r="E373" s="353" t="s">
        <v>55</v>
      </c>
      <c r="F373" s="362">
        <f>'MEMORIAL DE CALCULO'!H2363</f>
        <v>6</v>
      </c>
      <c r="G373" s="1171"/>
      <c r="H373" s="270">
        <f t="shared" si="124"/>
        <v>0</v>
      </c>
      <c r="I373" s="874">
        <f t="shared" si="125"/>
        <v>0</v>
      </c>
      <c r="J373" s="874">
        <f t="shared" si="126"/>
        <v>0</v>
      </c>
      <c r="K373" s="244"/>
    </row>
    <row r="374" spans="1:11" outlineLevel="2">
      <c r="A374" s="246" t="s">
        <v>768</v>
      </c>
      <c r="B374" s="247" t="s">
        <v>67</v>
      </c>
      <c r="C374" s="247" t="s">
        <v>769</v>
      </c>
      <c r="D374" s="774" t="s">
        <v>770</v>
      </c>
      <c r="E374" s="353" t="s">
        <v>55</v>
      </c>
      <c r="F374" s="362">
        <f>'MEMORIAL DE CALCULO'!H2365</f>
        <v>9</v>
      </c>
      <c r="G374" s="1171"/>
      <c r="H374" s="270">
        <f t="shared" si="124"/>
        <v>0</v>
      </c>
      <c r="I374" s="874">
        <f t="shared" si="125"/>
        <v>0</v>
      </c>
      <c r="J374" s="874">
        <f t="shared" si="126"/>
        <v>0</v>
      </c>
      <c r="K374" s="244"/>
    </row>
    <row r="375" spans="1:11" outlineLevel="2">
      <c r="A375" s="246" t="s">
        <v>771</v>
      </c>
      <c r="B375" s="247" t="s">
        <v>67</v>
      </c>
      <c r="C375" s="247" t="s">
        <v>772</v>
      </c>
      <c r="D375" s="774" t="s">
        <v>773</v>
      </c>
      <c r="E375" s="353" t="s">
        <v>55</v>
      </c>
      <c r="F375" s="362">
        <f>'MEMORIAL DE CALCULO'!H2368</f>
        <v>1</v>
      </c>
      <c r="G375" s="1171"/>
      <c r="H375" s="270">
        <f t="shared" si="124"/>
        <v>0</v>
      </c>
      <c r="I375" s="874">
        <f t="shared" si="125"/>
        <v>0</v>
      </c>
      <c r="J375" s="874">
        <f t="shared" si="126"/>
        <v>0</v>
      </c>
      <c r="K375" s="244"/>
    </row>
    <row r="376" spans="1:11" outlineLevel="2">
      <c r="A376" s="246" t="s">
        <v>774</v>
      </c>
      <c r="B376" s="247" t="s">
        <v>67</v>
      </c>
      <c r="C376" s="247" t="s">
        <v>775</v>
      </c>
      <c r="D376" s="774" t="s">
        <v>776</v>
      </c>
      <c r="E376" s="353" t="s">
        <v>55</v>
      </c>
      <c r="F376" s="362">
        <f>'MEMORIAL DE CALCULO'!H2370</f>
        <v>6</v>
      </c>
      <c r="G376" s="1171"/>
      <c r="H376" s="270">
        <f t="shared" si="124"/>
        <v>0</v>
      </c>
      <c r="I376" s="874">
        <f t="shared" si="125"/>
        <v>0</v>
      </c>
      <c r="J376" s="874">
        <f t="shared" si="126"/>
        <v>0</v>
      </c>
      <c r="K376" s="244"/>
    </row>
    <row r="377" spans="1:11" ht="28.5" outlineLevel="2">
      <c r="A377" s="246" t="s">
        <v>777</v>
      </c>
      <c r="B377" s="247" t="s">
        <v>26</v>
      </c>
      <c r="C377" s="247" t="s">
        <v>778</v>
      </c>
      <c r="D377" s="774" t="s">
        <v>779</v>
      </c>
      <c r="E377" s="353" t="s">
        <v>55</v>
      </c>
      <c r="F377" s="362">
        <f>'MEMORIAL DE CALCULO'!H2373</f>
        <v>6</v>
      </c>
      <c r="G377" s="1171"/>
      <c r="H377" s="270">
        <f t="shared" si="124"/>
        <v>0</v>
      </c>
      <c r="I377" s="874">
        <f t="shared" si="125"/>
        <v>0</v>
      </c>
      <c r="J377" s="874">
        <f t="shared" si="126"/>
        <v>0</v>
      </c>
      <c r="K377" s="244"/>
    </row>
    <row r="378" spans="1:11" ht="28.5" outlineLevel="2">
      <c r="A378" s="246" t="s">
        <v>780</v>
      </c>
      <c r="B378" s="247" t="s">
        <v>26</v>
      </c>
      <c r="C378" s="247" t="s">
        <v>781</v>
      </c>
      <c r="D378" s="774" t="s">
        <v>782</v>
      </c>
      <c r="E378" s="353" t="s">
        <v>55</v>
      </c>
      <c r="F378" s="362">
        <f>'MEMORIAL DE CALCULO'!H2374</f>
        <v>4</v>
      </c>
      <c r="G378" s="1171"/>
      <c r="H378" s="270">
        <f t="shared" si="124"/>
        <v>0</v>
      </c>
      <c r="I378" s="874">
        <f t="shared" si="125"/>
        <v>0</v>
      </c>
      <c r="J378" s="874">
        <f t="shared" si="126"/>
        <v>0</v>
      </c>
      <c r="K378" s="244"/>
    </row>
    <row r="379" spans="1:11" ht="28.5" outlineLevel="2">
      <c r="A379" s="246" t="s">
        <v>783</v>
      </c>
      <c r="B379" s="247" t="s">
        <v>26</v>
      </c>
      <c r="C379" s="247" t="s">
        <v>784</v>
      </c>
      <c r="D379" s="774" t="s">
        <v>785</v>
      </c>
      <c r="E379" s="353" t="s">
        <v>55</v>
      </c>
      <c r="F379" s="362">
        <f>'MEMORIAL DE CALCULO'!H2376</f>
        <v>6</v>
      </c>
      <c r="G379" s="1171"/>
      <c r="H379" s="270">
        <f t="shared" si="124"/>
        <v>0</v>
      </c>
      <c r="I379" s="874">
        <f t="shared" si="125"/>
        <v>0</v>
      </c>
      <c r="J379" s="874">
        <f t="shared" si="126"/>
        <v>0</v>
      </c>
      <c r="K379" s="244"/>
    </row>
    <row r="380" spans="1:11" ht="28.5" outlineLevel="2">
      <c r="A380" s="246" t="s">
        <v>786</v>
      </c>
      <c r="B380" s="247" t="s">
        <v>26</v>
      </c>
      <c r="C380" s="247" t="s">
        <v>787</v>
      </c>
      <c r="D380" s="774" t="s">
        <v>788</v>
      </c>
      <c r="E380" s="353" t="s">
        <v>55</v>
      </c>
      <c r="F380" s="362">
        <f>'MEMORIAL DE CALCULO'!H2378</f>
        <v>4</v>
      </c>
      <c r="G380" s="1171"/>
      <c r="H380" s="270">
        <f t="shared" si="124"/>
        <v>0</v>
      </c>
      <c r="I380" s="874">
        <f t="shared" si="125"/>
        <v>0</v>
      </c>
      <c r="J380" s="874">
        <f t="shared" si="126"/>
        <v>0</v>
      </c>
      <c r="K380" s="244"/>
    </row>
    <row r="381" spans="1:11" ht="19.899999999999999" customHeight="1" outlineLevel="2">
      <c r="A381" s="246">
        <v>2845</v>
      </c>
      <c r="B381" s="247" t="s">
        <v>67</v>
      </c>
      <c r="C381" s="247" t="s">
        <v>789</v>
      </c>
      <c r="D381" s="774" t="s">
        <v>790</v>
      </c>
      <c r="E381" s="353" t="s">
        <v>55</v>
      </c>
      <c r="F381" s="362">
        <f>'MEMORIAL DE CALCULO'!H2380</f>
        <v>60</v>
      </c>
      <c r="G381" s="1171"/>
      <c r="H381" s="270">
        <f t="shared" si="124"/>
        <v>0</v>
      </c>
      <c r="I381" s="874">
        <f t="shared" si="125"/>
        <v>0</v>
      </c>
      <c r="J381" s="874">
        <f t="shared" si="126"/>
        <v>0</v>
      </c>
      <c r="K381" s="244"/>
    </row>
    <row r="382" spans="1:11" ht="28.5" outlineLevel="2">
      <c r="A382" s="246" t="s">
        <v>791</v>
      </c>
      <c r="B382" s="247" t="s">
        <v>26</v>
      </c>
      <c r="C382" s="247" t="s">
        <v>792</v>
      </c>
      <c r="D382" s="774" t="s">
        <v>793</v>
      </c>
      <c r="E382" s="353" t="s">
        <v>55</v>
      </c>
      <c r="F382" s="362">
        <f>'MEMORIAL DE CALCULO'!H2382</f>
        <v>2</v>
      </c>
      <c r="G382" s="1171"/>
      <c r="H382" s="270">
        <f t="shared" si="124"/>
        <v>0</v>
      </c>
      <c r="I382" s="874">
        <f t="shared" si="125"/>
        <v>0</v>
      </c>
      <c r="J382" s="874">
        <f t="shared" si="126"/>
        <v>0</v>
      </c>
      <c r="K382" s="244"/>
    </row>
    <row r="383" spans="1:11" ht="21" customHeight="1" outlineLevel="2">
      <c r="A383" s="246">
        <v>2892</v>
      </c>
      <c r="B383" s="247" t="s">
        <v>67</v>
      </c>
      <c r="C383" s="247" t="s">
        <v>794</v>
      </c>
      <c r="D383" s="774" t="s">
        <v>795</v>
      </c>
      <c r="E383" s="353" t="s">
        <v>55</v>
      </c>
      <c r="F383" s="362">
        <f>'MEMORIAL DE CALCULO'!H2384</f>
        <v>6</v>
      </c>
      <c r="G383" s="1171"/>
      <c r="H383" s="270">
        <f t="shared" si="124"/>
        <v>0</v>
      </c>
      <c r="I383" s="874">
        <f t="shared" si="125"/>
        <v>0</v>
      </c>
      <c r="J383" s="874">
        <f t="shared" si="126"/>
        <v>0</v>
      </c>
      <c r="K383" s="244"/>
    </row>
    <row r="384" spans="1:11" ht="19.149999999999999" customHeight="1" outlineLevel="2">
      <c r="A384" s="246">
        <v>9277</v>
      </c>
      <c r="B384" s="247" t="s">
        <v>67</v>
      </c>
      <c r="C384" s="247" t="s">
        <v>796</v>
      </c>
      <c r="D384" s="774" t="s">
        <v>797</v>
      </c>
      <c r="E384" s="353" t="s">
        <v>246</v>
      </c>
      <c r="F384" s="362">
        <f>'MEMORIAL DE CALCULO'!H2386</f>
        <v>6</v>
      </c>
      <c r="G384" s="1171"/>
      <c r="H384" s="270">
        <f t="shared" si="124"/>
        <v>0</v>
      </c>
      <c r="I384" s="874">
        <f t="shared" si="125"/>
        <v>0</v>
      </c>
      <c r="J384" s="874">
        <f t="shared" si="126"/>
        <v>0</v>
      </c>
      <c r="K384" s="244"/>
    </row>
    <row r="385" spans="1:11" ht="28.5" outlineLevel="2">
      <c r="A385" s="246">
        <v>4000</v>
      </c>
      <c r="B385" s="247" t="s">
        <v>67</v>
      </c>
      <c r="C385" s="247" t="s">
        <v>798</v>
      </c>
      <c r="D385" s="774" t="s">
        <v>799</v>
      </c>
      <c r="E385" s="353" t="s">
        <v>55</v>
      </c>
      <c r="F385" s="362">
        <f>'MEMORIAL DE CALCULO'!H2388</f>
        <v>6</v>
      </c>
      <c r="G385" s="1171"/>
      <c r="H385" s="270">
        <f t="shared" si="124"/>
        <v>0</v>
      </c>
      <c r="I385" s="874">
        <f t="shared" si="125"/>
        <v>0</v>
      </c>
      <c r="J385" s="874">
        <f t="shared" si="126"/>
        <v>0</v>
      </c>
      <c r="K385" s="244"/>
    </row>
    <row r="386" spans="1:11" ht="17.45" customHeight="1" outlineLevel="2">
      <c r="A386" s="246">
        <v>359</v>
      </c>
      <c r="B386" s="247" t="s">
        <v>67</v>
      </c>
      <c r="C386" s="247" t="s">
        <v>800</v>
      </c>
      <c r="D386" s="774" t="s">
        <v>801</v>
      </c>
      <c r="E386" s="353" t="s">
        <v>246</v>
      </c>
      <c r="F386" s="362">
        <f>'MEMORIAL DE CALCULO'!H2390</f>
        <v>18</v>
      </c>
      <c r="G386" s="1171"/>
      <c r="H386" s="270">
        <f t="shared" si="124"/>
        <v>0</v>
      </c>
      <c r="I386" s="874">
        <f t="shared" si="125"/>
        <v>0</v>
      </c>
      <c r="J386" s="874">
        <f t="shared" si="126"/>
        <v>0</v>
      </c>
      <c r="K386" s="244"/>
    </row>
    <row r="387" spans="1:11" ht="28.5" outlineLevel="2">
      <c r="A387" s="246">
        <v>93024</v>
      </c>
      <c r="B387" s="247" t="s">
        <v>26</v>
      </c>
      <c r="C387" s="247" t="s">
        <v>802</v>
      </c>
      <c r="D387" s="774" t="s">
        <v>803</v>
      </c>
      <c r="E387" s="353" t="s">
        <v>55</v>
      </c>
      <c r="F387" s="362">
        <f>'MEMORIAL DE CALCULO'!H2392</f>
        <v>5</v>
      </c>
      <c r="G387" s="1171"/>
      <c r="H387" s="270">
        <f t="shared" si="124"/>
        <v>0</v>
      </c>
      <c r="I387" s="874">
        <f t="shared" si="125"/>
        <v>0</v>
      </c>
      <c r="J387" s="874">
        <f t="shared" si="126"/>
        <v>0</v>
      </c>
      <c r="K387" s="244"/>
    </row>
    <row r="388" spans="1:11" ht="28.5" outlineLevel="2">
      <c r="A388" s="246">
        <v>377</v>
      </c>
      <c r="B388" s="247" t="s">
        <v>67</v>
      </c>
      <c r="C388" s="247" t="s">
        <v>804</v>
      </c>
      <c r="D388" s="774" t="s">
        <v>805</v>
      </c>
      <c r="E388" s="353" t="s">
        <v>55</v>
      </c>
      <c r="F388" s="362">
        <f>'MEMORIAL DE CALCULO'!H2394</f>
        <v>6</v>
      </c>
      <c r="G388" s="1171"/>
      <c r="H388" s="270">
        <f t="shared" si="124"/>
        <v>0</v>
      </c>
      <c r="I388" s="874">
        <f t="shared" si="125"/>
        <v>0</v>
      </c>
      <c r="J388" s="874">
        <f t="shared" si="126"/>
        <v>0</v>
      </c>
      <c r="K388" s="244"/>
    </row>
    <row r="389" spans="1:11" ht="20.45" customHeight="1" outlineLevel="2">
      <c r="A389" s="246">
        <v>11766</v>
      </c>
      <c r="B389" s="247" t="s">
        <v>67</v>
      </c>
      <c r="C389" s="247" t="s">
        <v>806</v>
      </c>
      <c r="D389" s="774" t="s">
        <v>807</v>
      </c>
      <c r="E389" s="353" t="s">
        <v>55</v>
      </c>
      <c r="F389" s="362">
        <f>'MEMORIAL DE CALCULO'!H2396</f>
        <v>4</v>
      </c>
      <c r="G389" s="1171"/>
      <c r="H389" s="270">
        <f t="shared" si="124"/>
        <v>0</v>
      </c>
      <c r="I389" s="874">
        <f t="shared" si="125"/>
        <v>0</v>
      </c>
      <c r="J389" s="874">
        <f t="shared" si="126"/>
        <v>0</v>
      </c>
      <c r="K389" s="244"/>
    </row>
    <row r="390" spans="1:11" ht="18" customHeight="1" outlineLevel="2">
      <c r="A390" s="246">
        <v>11765</v>
      </c>
      <c r="B390" s="247" t="s">
        <v>67</v>
      </c>
      <c r="C390" s="247" t="s">
        <v>808</v>
      </c>
      <c r="D390" s="774" t="s">
        <v>809</v>
      </c>
      <c r="E390" s="353" t="s">
        <v>55</v>
      </c>
      <c r="F390" s="362">
        <f>'MEMORIAL DE CALCULO'!H2398</f>
        <v>2</v>
      </c>
      <c r="G390" s="1171"/>
      <c r="H390" s="270">
        <f t="shared" si="124"/>
        <v>0</v>
      </c>
      <c r="I390" s="874">
        <f t="shared" si="125"/>
        <v>0</v>
      </c>
      <c r="J390" s="874">
        <f t="shared" si="126"/>
        <v>0</v>
      </c>
      <c r="K390" s="244"/>
    </row>
    <row r="391" spans="1:11" ht="28.5" outlineLevel="2">
      <c r="A391" s="246" t="s">
        <v>810</v>
      </c>
      <c r="B391" s="247" t="s">
        <v>26</v>
      </c>
      <c r="C391" s="247" t="s">
        <v>811</v>
      </c>
      <c r="D391" s="774" t="s">
        <v>812</v>
      </c>
      <c r="E391" s="353" t="s">
        <v>55</v>
      </c>
      <c r="F391" s="362">
        <f>'MEMORIAL DE CALCULO'!H2400</f>
        <v>2</v>
      </c>
      <c r="G391" s="1171"/>
      <c r="H391" s="270">
        <f t="shared" si="124"/>
        <v>0</v>
      </c>
      <c r="I391" s="874">
        <f t="shared" si="125"/>
        <v>0</v>
      </c>
      <c r="J391" s="874">
        <f t="shared" si="126"/>
        <v>0</v>
      </c>
      <c r="K391" s="244"/>
    </row>
    <row r="392" spans="1:11" ht="16.899999999999999" customHeight="1" outlineLevel="2">
      <c r="A392" s="246" t="str">
        <f>'COMP. ELÉTRICA'!A197</f>
        <v>COMP/ELE -17</v>
      </c>
      <c r="B392" s="247"/>
      <c r="C392" s="247" t="s">
        <v>813</v>
      </c>
      <c r="D392" s="774" t="s">
        <v>814</v>
      </c>
      <c r="E392" s="353" t="s">
        <v>55</v>
      </c>
      <c r="F392" s="362">
        <f>'MEMORIAL DE CALCULO'!H2402</f>
        <v>2</v>
      </c>
      <c r="G392" s="1171"/>
      <c r="H392" s="270">
        <f t="shared" si="124"/>
        <v>0</v>
      </c>
      <c r="I392" s="874">
        <f t="shared" si="125"/>
        <v>0</v>
      </c>
      <c r="J392" s="874">
        <f t="shared" si="126"/>
        <v>0</v>
      </c>
      <c r="K392" s="244"/>
    </row>
    <row r="393" spans="1:11" ht="19.149999999999999" customHeight="1" outlineLevel="2">
      <c r="A393" s="246" t="s">
        <v>815</v>
      </c>
      <c r="B393" s="247" t="s">
        <v>67</v>
      </c>
      <c r="C393" s="247" t="s">
        <v>816</v>
      </c>
      <c r="D393" s="774" t="s">
        <v>817</v>
      </c>
      <c r="E393" s="353" t="s">
        <v>55</v>
      </c>
      <c r="F393" s="362">
        <f>'MEMORIAL DE CALCULO'!H2404</f>
        <v>2</v>
      </c>
      <c r="G393" s="1171"/>
      <c r="H393" s="270">
        <f t="shared" si="124"/>
        <v>0</v>
      </c>
      <c r="I393" s="874">
        <f t="shared" si="125"/>
        <v>0</v>
      </c>
      <c r="J393" s="874">
        <f t="shared" si="126"/>
        <v>0</v>
      </c>
      <c r="K393" s="244"/>
    </row>
    <row r="394" spans="1:11" ht="28.5" outlineLevel="2">
      <c r="A394" s="246" t="s">
        <v>818</v>
      </c>
      <c r="B394" s="247" t="s">
        <v>67</v>
      </c>
      <c r="C394" s="247" t="s">
        <v>819</v>
      </c>
      <c r="D394" s="774" t="s">
        <v>820</v>
      </c>
      <c r="E394" s="353" t="s">
        <v>55</v>
      </c>
      <c r="F394" s="362">
        <f>'MEMORIAL DE CALCULO'!H2406</f>
        <v>9</v>
      </c>
      <c r="G394" s="1171"/>
      <c r="H394" s="270">
        <f t="shared" si="124"/>
        <v>0</v>
      </c>
      <c r="I394" s="874">
        <f t="shared" si="125"/>
        <v>0</v>
      </c>
      <c r="J394" s="874">
        <f t="shared" si="126"/>
        <v>0</v>
      </c>
      <c r="K394" s="244"/>
    </row>
    <row r="395" spans="1:11" ht="16.899999999999999" customHeight="1" outlineLevel="2">
      <c r="A395" s="246" t="s">
        <v>821</v>
      </c>
      <c r="B395" s="247" t="s">
        <v>67</v>
      </c>
      <c r="C395" s="247" t="s">
        <v>822</v>
      </c>
      <c r="D395" s="774" t="s">
        <v>823</v>
      </c>
      <c r="E395" s="353" t="s">
        <v>55</v>
      </c>
      <c r="F395" s="362">
        <f>'MEMORIAL DE CALCULO'!H2408</f>
        <v>4</v>
      </c>
      <c r="G395" s="1171"/>
      <c r="H395" s="270">
        <f t="shared" si="124"/>
        <v>0</v>
      </c>
      <c r="I395" s="874">
        <f t="shared" si="125"/>
        <v>0</v>
      </c>
      <c r="J395" s="874">
        <f t="shared" si="126"/>
        <v>0</v>
      </c>
      <c r="K395" s="244"/>
    </row>
    <row r="396" spans="1:11" ht="22.9" customHeight="1" outlineLevel="2">
      <c r="A396" s="246" t="s">
        <v>824</v>
      </c>
      <c r="B396" s="247" t="s">
        <v>67</v>
      </c>
      <c r="C396" s="247" t="s">
        <v>825</v>
      </c>
      <c r="D396" s="774" t="s">
        <v>826</v>
      </c>
      <c r="E396" s="353" t="s">
        <v>55</v>
      </c>
      <c r="F396" s="362">
        <f>'MEMORIAL DE CALCULO'!H2410</f>
        <v>2</v>
      </c>
      <c r="G396" s="1171"/>
      <c r="H396" s="270">
        <f t="shared" si="124"/>
        <v>0</v>
      </c>
      <c r="I396" s="874">
        <f t="shared" si="125"/>
        <v>0</v>
      </c>
      <c r="J396" s="874">
        <f t="shared" si="126"/>
        <v>0</v>
      </c>
      <c r="K396" s="244"/>
    </row>
    <row r="397" spans="1:11" ht="42.75" outlineLevel="2">
      <c r="A397" s="246" t="s">
        <v>827</v>
      </c>
      <c r="B397" s="247" t="s">
        <v>26</v>
      </c>
      <c r="C397" s="247" t="s">
        <v>828</v>
      </c>
      <c r="D397" s="783" t="s">
        <v>829</v>
      </c>
      <c r="E397" s="355" t="s">
        <v>55</v>
      </c>
      <c r="F397" s="760">
        <f>'MEMORIAL DE CALCULO'!H2412</f>
        <v>1</v>
      </c>
      <c r="G397" s="1171"/>
      <c r="H397" s="270">
        <f t="shared" si="124"/>
        <v>0</v>
      </c>
      <c r="I397" s="874">
        <f t="shared" si="125"/>
        <v>0</v>
      </c>
      <c r="J397" s="874">
        <f t="shared" si="126"/>
        <v>0</v>
      </c>
      <c r="K397" s="320"/>
    </row>
    <row r="398" spans="1:11" ht="18" customHeight="1" outlineLevel="1">
      <c r="A398" s="251"/>
      <c r="B398" s="249"/>
      <c r="C398" s="249" t="s">
        <v>830</v>
      </c>
      <c r="D398" s="785" t="s">
        <v>831</v>
      </c>
      <c r="E398" s="788"/>
      <c r="F398" s="786"/>
      <c r="G398" s="787"/>
      <c r="H398" s="46"/>
      <c r="I398" s="250">
        <f>SUM(I399:I445)</f>
        <v>0</v>
      </c>
      <c r="J398" s="250">
        <f>SUM(J399:J445)</f>
        <v>0</v>
      </c>
      <c r="K398" s="32" t="e">
        <f>J398/$J$685</f>
        <v>#DIV/0!</v>
      </c>
    </row>
    <row r="399" spans="1:11" ht="28.5" outlineLevel="2">
      <c r="A399" s="246">
        <v>4527</v>
      </c>
      <c r="B399" s="247" t="s">
        <v>67</v>
      </c>
      <c r="C399" s="247" t="s">
        <v>832</v>
      </c>
      <c r="D399" s="784" t="s">
        <v>833</v>
      </c>
      <c r="E399" s="567" t="s">
        <v>55</v>
      </c>
      <c r="F399" s="739">
        <f>'MEMORIAL DE CALCULO'!H2416</f>
        <v>2</v>
      </c>
      <c r="G399" s="1171"/>
      <c r="H399" s="270">
        <f t="shared" si="124"/>
        <v>0</v>
      </c>
      <c r="I399" s="874">
        <f t="shared" ref="I399:I445" si="127">F399*G399</f>
        <v>0</v>
      </c>
      <c r="J399" s="874">
        <f t="shared" ref="J399:J445" si="128">H399*F399</f>
        <v>0</v>
      </c>
      <c r="K399" s="566"/>
    </row>
    <row r="400" spans="1:11" ht="57" outlineLevel="2">
      <c r="A400" s="246">
        <v>101875</v>
      </c>
      <c r="B400" s="246" t="s">
        <v>26</v>
      </c>
      <c r="C400" s="247" t="s">
        <v>834</v>
      </c>
      <c r="D400" s="774" t="s">
        <v>835</v>
      </c>
      <c r="E400" s="353" t="s">
        <v>55</v>
      </c>
      <c r="F400" s="362">
        <f>'MEMORIAL DE CALCULO'!H2418</f>
        <v>14</v>
      </c>
      <c r="G400" s="1171"/>
      <c r="H400" s="270">
        <f t="shared" si="124"/>
        <v>0</v>
      </c>
      <c r="I400" s="270">
        <f t="shared" si="127"/>
        <v>0</v>
      </c>
      <c r="J400" s="270">
        <f t="shared" si="128"/>
        <v>0</v>
      </c>
      <c r="K400" s="244"/>
    </row>
    <row r="401" spans="1:11" ht="39" customHeight="1" outlineLevel="2">
      <c r="A401" s="246">
        <v>670</v>
      </c>
      <c r="B401" s="247" t="s">
        <v>67</v>
      </c>
      <c r="C401" s="247" t="s">
        <v>836</v>
      </c>
      <c r="D401" s="774" t="s">
        <v>837</v>
      </c>
      <c r="E401" s="353" t="s">
        <v>55</v>
      </c>
      <c r="F401" s="362">
        <f>'MEMORIAL DE CALCULO'!H2433</f>
        <v>12</v>
      </c>
      <c r="G401" s="1171"/>
      <c r="H401" s="270">
        <f t="shared" si="124"/>
        <v>0</v>
      </c>
      <c r="I401" s="874">
        <f t="shared" si="127"/>
        <v>0</v>
      </c>
      <c r="J401" s="874">
        <f t="shared" si="128"/>
        <v>0</v>
      </c>
      <c r="K401" s="244"/>
    </row>
    <row r="402" spans="1:11" ht="42.75" outlineLevel="2">
      <c r="A402" s="257">
        <v>8188</v>
      </c>
      <c r="B402" s="258" t="s">
        <v>67</v>
      </c>
      <c r="C402" s="247" t="s">
        <v>838</v>
      </c>
      <c r="D402" s="774" t="s">
        <v>839</v>
      </c>
      <c r="E402" s="353" t="s">
        <v>246</v>
      </c>
      <c r="F402" s="362">
        <f>'MEMORIAL DE CALCULO'!J2435</f>
        <v>164.61600000000001</v>
      </c>
      <c r="G402" s="1171"/>
      <c r="H402" s="270">
        <f t="shared" si="124"/>
        <v>0</v>
      </c>
      <c r="I402" s="874">
        <f t="shared" si="127"/>
        <v>0</v>
      </c>
      <c r="J402" s="874">
        <f t="shared" si="128"/>
        <v>0</v>
      </c>
      <c r="K402" s="244"/>
    </row>
    <row r="403" spans="1:11" ht="28.5" outlineLevel="2">
      <c r="A403" s="246">
        <v>9987</v>
      </c>
      <c r="B403" s="247" t="s">
        <v>67</v>
      </c>
      <c r="C403" s="247" t="s">
        <v>840</v>
      </c>
      <c r="D403" s="774" t="s">
        <v>841</v>
      </c>
      <c r="E403" s="353" t="s">
        <v>55</v>
      </c>
      <c r="F403" s="362">
        <f>'MEMORIAL DE CALCULO'!H2437</f>
        <v>20</v>
      </c>
      <c r="G403" s="1171"/>
      <c r="H403" s="270">
        <f t="shared" si="124"/>
        <v>0</v>
      </c>
      <c r="I403" s="874">
        <f t="shared" si="127"/>
        <v>0</v>
      </c>
      <c r="J403" s="874">
        <f t="shared" si="128"/>
        <v>0</v>
      </c>
      <c r="K403" s="244"/>
    </row>
    <row r="404" spans="1:11" ht="28.5" outlineLevel="2">
      <c r="A404" s="246">
        <v>11405</v>
      </c>
      <c r="B404" s="247" t="s">
        <v>67</v>
      </c>
      <c r="C404" s="247" t="s">
        <v>842</v>
      </c>
      <c r="D404" s="774" t="s">
        <v>843</v>
      </c>
      <c r="E404" s="353" t="s">
        <v>55</v>
      </c>
      <c r="F404" s="362">
        <f>'MEMORIAL DE CALCULO'!H2440</f>
        <v>56</v>
      </c>
      <c r="G404" s="1171"/>
      <c r="H404" s="270">
        <f t="shared" si="124"/>
        <v>0</v>
      </c>
      <c r="I404" s="874">
        <f t="shared" ref="I404:I408" si="129">F404*G404</f>
        <v>0</v>
      </c>
      <c r="J404" s="874">
        <f t="shared" ref="J404:J408" si="130">H404*F404</f>
        <v>0</v>
      </c>
      <c r="K404" s="244"/>
    </row>
    <row r="405" spans="1:11" ht="28.5" outlineLevel="2">
      <c r="A405" s="246">
        <v>12558</v>
      </c>
      <c r="B405" s="247" t="s">
        <v>67</v>
      </c>
      <c r="C405" s="247" t="s">
        <v>844</v>
      </c>
      <c r="D405" s="774" t="s">
        <v>845</v>
      </c>
      <c r="E405" s="353" t="s">
        <v>55</v>
      </c>
      <c r="F405" s="362">
        <f>'MEMORIAL DE CALCULO'!H2441</f>
        <v>6</v>
      </c>
      <c r="G405" s="1171"/>
      <c r="H405" s="270">
        <f t="shared" si="124"/>
        <v>0</v>
      </c>
      <c r="I405" s="874">
        <f t="shared" si="129"/>
        <v>0</v>
      </c>
      <c r="J405" s="874">
        <f t="shared" si="130"/>
        <v>0</v>
      </c>
      <c r="K405" s="244"/>
    </row>
    <row r="406" spans="1:11" outlineLevel="2">
      <c r="A406" s="246">
        <v>9673</v>
      </c>
      <c r="B406" s="247" t="s">
        <v>67</v>
      </c>
      <c r="C406" s="247" t="s">
        <v>846</v>
      </c>
      <c r="D406" s="774" t="s">
        <v>847</v>
      </c>
      <c r="E406" s="353" t="s">
        <v>55</v>
      </c>
      <c r="F406" s="362">
        <f>'MEMORIAL DE CALCULO'!H2443</f>
        <v>166</v>
      </c>
      <c r="G406" s="1171"/>
      <c r="H406" s="270">
        <f t="shared" ref="H406:H469" si="131">G406*$I$5</f>
        <v>0</v>
      </c>
      <c r="I406" s="874">
        <f t="shared" si="129"/>
        <v>0</v>
      </c>
      <c r="J406" s="874">
        <f t="shared" si="130"/>
        <v>0</v>
      </c>
      <c r="K406" s="244"/>
    </row>
    <row r="407" spans="1:11" ht="28.5" outlineLevel="2">
      <c r="A407" s="246">
        <v>12557</v>
      </c>
      <c r="B407" s="247" t="s">
        <v>67</v>
      </c>
      <c r="C407" s="247" t="s">
        <v>848</v>
      </c>
      <c r="D407" s="774" t="s">
        <v>849</v>
      </c>
      <c r="E407" s="353" t="s">
        <v>55</v>
      </c>
      <c r="F407" s="362">
        <f>'MEMORIAL DE CALCULO'!H2445</f>
        <v>8</v>
      </c>
      <c r="G407" s="1171"/>
      <c r="H407" s="270">
        <f t="shared" si="131"/>
        <v>0</v>
      </c>
      <c r="I407" s="874">
        <f t="shared" si="129"/>
        <v>0</v>
      </c>
      <c r="J407" s="874">
        <f t="shared" si="130"/>
        <v>0</v>
      </c>
      <c r="K407" s="244"/>
    </row>
    <row r="408" spans="1:11" outlineLevel="2">
      <c r="A408" s="246">
        <v>12578</v>
      </c>
      <c r="B408" s="247" t="s">
        <v>67</v>
      </c>
      <c r="C408" s="247" t="s">
        <v>850</v>
      </c>
      <c r="D408" s="774" t="s">
        <v>851</v>
      </c>
      <c r="E408" s="353" t="s">
        <v>55</v>
      </c>
      <c r="F408" s="362">
        <f>'MEMORIAL DE CALCULO'!H2447</f>
        <v>68</v>
      </c>
      <c r="G408" s="1171"/>
      <c r="H408" s="270">
        <f t="shared" si="131"/>
        <v>0</v>
      </c>
      <c r="I408" s="874">
        <f t="shared" si="129"/>
        <v>0</v>
      </c>
      <c r="J408" s="874">
        <f t="shared" si="130"/>
        <v>0</v>
      </c>
      <c r="K408" s="244"/>
    </row>
    <row r="409" spans="1:11" outlineLevel="2">
      <c r="A409" s="246">
        <v>4190</v>
      </c>
      <c r="B409" s="247" t="s">
        <v>67</v>
      </c>
      <c r="C409" s="247" t="s">
        <v>852</v>
      </c>
      <c r="D409" s="774" t="s">
        <v>691</v>
      </c>
      <c r="E409" s="353" t="s">
        <v>55</v>
      </c>
      <c r="F409" s="362">
        <f>'MEMORIAL DE CALCULO'!H2449</f>
        <v>166</v>
      </c>
      <c r="G409" s="1171"/>
      <c r="H409" s="270">
        <f t="shared" si="131"/>
        <v>0</v>
      </c>
      <c r="I409" s="874">
        <f t="shared" si="127"/>
        <v>0</v>
      </c>
      <c r="J409" s="874">
        <f t="shared" si="128"/>
        <v>0</v>
      </c>
      <c r="K409" s="244"/>
    </row>
    <row r="410" spans="1:11" ht="28.5" outlineLevel="2">
      <c r="A410" s="246">
        <v>666</v>
      </c>
      <c r="B410" s="247" t="s">
        <v>67</v>
      </c>
      <c r="C410" s="247" t="s">
        <v>853</v>
      </c>
      <c r="D410" s="774" t="s">
        <v>854</v>
      </c>
      <c r="E410" s="353" t="s">
        <v>55</v>
      </c>
      <c r="F410" s="362">
        <f>'MEMORIAL DE CALCULO'!H2451</f>
        <v>4</v>
      </c>
      <c r="G410" s="1171"/>
      <c r="H410" s="270">
        <f t="shared" si="131"/>
        <v>0</v>
      </c>
      <c r="I410" s="874">
        <f t="shared" si="127"/>
        <v>0</v>
      </c>
      <c r="J410" s="874">
        <f t="shared" si="128"/>
        <v>0</v>
      </c>
      <c r="K410" s="244"/>
    </row>
    <row r="411" spans="1:11" ht="28.5" outlineLevel="2">
      <c r="A411" s="246">
        <v>670</v>
      </c>
      <c r="B411" s="247" t="s">
        <v>67</v>
      </c>
      <c r="C411" s="247" t="s">
        <v>855</v>
      </c>
      <c r="D411" s="774" t="str">
        <f>UPPER("Caixa de passagem para telefone, padrão telebras, 40x40x12cm, em chapa aço galv. - fornecimento")</f>
        <v>CAIXA DE PASSAGEM PARA TELEFONE, PADRÃO TELEBRAS, 40X40X12CM, EM CHAPA AÇO GALV. - FORNECIMENTO</v>
      </c>
      <c r="E411" s="353" t="s">
        <v>55</v>
      </c>
      <c r="F411" s="362">
        <f>'MEMORIAL DE CALCULO'!H2453</f>
        <v>4</v>
      </c>
      <c r="G411" s="1171"/>
      <c r="H411" s="270">
        <f t="shared" si="131"/>
        <v>0</v>
      </c>
      <c r="I411" s="874">
        <f t="shared" si="127"/>
        <v>0</v>
      </c>
      <c r="J411" s="874">
        <f t="shared" si="128"/>
        <v>0</v>
      </c>
      <c r="K411" s="244"/>
    </row>
    <row r="412" spans="1:11" ht="28.5" outlineLevel="2">
      <c r="A412" s="246">
        <v>2799</v>
      </c>
      <c r="B412" s="247" t="s">
        <v>67</v>
      </c>
      <c r="C412" s="247" t="s">
        <v>856</v>
      </c>
      <c r="D412" s="774" t="s">
        <v>857</v>
      </c>
      <c r="E412" s="353" t="s">
        <v>55</v>
      </c>
      <c r="F412" s="362">
        <f>'MEMORIAL DE CALCULO'!H2455</f>
        <v>6</v>
      </c>
      <c r="G412" s="1171"/>
      <c r="H412" s="270">
        <f t="shared" si="131"/>
        <v>0</v>
      </c>
      <c r="I412" s="874">
        <f t="shared" si="127"/>
        <v>0</v>
      </c>
      <c r="J412" s="874">
        <f t="shared" si="128"/>
        <v>0</v>
      </c>
      <c r="K412" s="244"/>
    </row>
    <row r="413" spans="1:11" ht="31.5" customHeight="1" outlineLevel="2">
      <c r="A413" s="246">
        <v>698</v>
      </c>
      <c r="B413" s="247" t="s">
        <v>67</v>
      </c>
      <c r="C413" s="247" t="s">
        <v>858</v>
      </c>
      <c r="D413" s="774" t="s">
        <v>859</v>
      </c>
      <c r="E413" s="353" t="s">
        <v>55</v>
      </c>
      <c r="F413" s="362">
        <f>'MEMORIAL DE CALCULO'!H2457</f>
        <v>2340</v>
      </c>
      <c r="G413" s="1171"/>
      <c r="H413" s="270">
        <f t="shared" si="131"/>
        <v>0</v>
      </c>
      <c r="I413" s="874">
        <f t="shared" si="127"/>
        <v>0</v>
      </c>
      <c r="J413" s="874">
        <f t="shared" si="128"/>
        <v>0</v>
      </c>
      <c r="K413" s="244"/>
    </row>
    <row r="414" spans="1:11" ht="32.450000000000003" customHeight="1" outlineLevel="2">
      <c r="A414" s="246">
        <v>8005</v>
      </c>
      <c r="B414" s="247" t="s">
        <v>67</v>
      </c>
      <c r="C414" s="247" t="s">
        <v>860</v>
      </c>
      <c r="D414" s="774" t="s">
        <v>861</v>
      </c>
      <c r="E414" s="353" t="s">
        <v>55</v>
      </c>
      <c r="F414" s="362">
        <f>'MEMORIAL DE CALCULO'!H2466</f>
        <v>12</v>
      </c>
      <c r="G414" s="1171"/>
      <c r="H414" s="270">
        <f t="shared" si="131"/>
        <v>0</v>
      </c>
      <c r="I414" s="874">
        <f t="shared" si="127"/>
        <v>0</v>
      </c>
      <c r="J414" s="874">
        <f t="shared" si="128"/>
        <v>0</v>
      </c>
      <c r="K414" s="244"/>
    </row>
    <row r="415" spans="1:11" ht="28.5" outlineLevel="2">
      <c r="A415" s="246">
        <v>8006</v>
      </c>
      <c r="B415" s="247" t="s">
        <v>67</v>
      </c>
      <c r="C415" s="247" t="s">
        <v>862</v>
      </c>
      <c r="D415" s="774" t="s">
        <v>863</v>
      </c>
      <c r="E415" s="353" t="s">
        <v>55</v>
      </c>
      <c r="F415" s="362">
        <f>'MEMORIAL DE CALCULO'!H2469</f>
        <v>58</v>
      </c>
      <c r="G415" s="1171"/>
      <c r="H415" s="270">
        <f t="shared" si="131"/>
        <v>0</v>
      </c>
      <c r="I415" s="874">
        <f t="shared" si="127"/>
        <v>0</v>
      </c>
      <c r="J415" s="874">
        <f t="shared" si="128"/>
        <v>0</v>
      </c>
      <c r="K415" s="244"/>
    </row>
    <row r="416" spans="1:11" ht="28.5" outlineLevel="2">
      <c r="A416" s="246">
        <v>8007</v>
      </c>
      <c r="B416" s="247" t="s">
        <v>67</v>
      </c>
      <c r="C416" s="247" t="s">
        <v>864</v>
      </c>
      <c r="D416" s="774" t="s">
        <v>865</v>
      </c>
      <c r="E416" s="353" t="s">
        <v>55</v>
      </c>
      <c r="F416" s="362">
        <f>'MEMORIAL DE CALCULO'!H2472</f>
        <v>108</v>
      </c>
      <c r="G416" s="1171"/>
      <c r="H416" s="270">
        <f t="shared" si="131"/>
        <v>0</v>
      </c>
      <c r="I416" s="874">
        <f t="shared" si="127"/>
        <v>0</v>
      </c>
      <c r="J416" s="874">
        <f t="shared" si="128"/>
        <v>0</v>
      </c>
      <c r="K416" s="244"/>
    </row>
    <row r="417" spans="1:11" ht="28.5" outlineLevel="2">
      <c r="A417" s="246">
        <v>7925</v>
      </c>
      <c r="B417" s="247" t="s">
        <v>67</v>
      </c>
      <c r="C417" s="247" t="s">
        <v>866</v>
      </c>
      <c r="D417" s="774" t="s">
        <v>867</v>
      </c>
      <c r="E417" s="353" t="s">
        <v>55</v>
      </c>
      <c r="F417" s="362">
        <f>'MEMORIAL DE CALCULO'!H2475</f>
        <v>24</v>
      </c>
      <c r="G417" s="1171"/>
      <c r="H417" s="270">
        <f t="shared" si="131"/>
        <v>0</v>
      </c>
      <c r="I417" s="874">
        <f t="shared" si="127"/>
        <v>0</v>
      </c>
      <c r="J417" s="874">
        <f t="shared" si="128"/>
        <v>0</v>
      </c>
      <c r="K417" s="244"/>
    </row>
    <row r="418" spans="1:11" ht="28.5" outlineLevel="2">
      <c r="A418" s="246">
        <v>7926</v>
      </c>
      <c r="B418" s="247" t="s">
        <v>67</v>
      </c>
      <c r="C418" s="247" t="s">
        <v>868</v>
      </c>
      <c r="D418" s="774" t="s">
        <v>869</v>
      </c>
      <c r="E418" s="353" t="s">
        <v>55</v>
      </c>
      <c r="F418" s="362">
        <f>'MEMORIAL DE CALCULO'!H2478</f>
        <v>12</v>
      </c>
      <c r="G418" s="1171"/>
      <c r="H418" s="270">
        <f t="shared" si="131"/>
        <v>0</v>
      </c>
      <c r="I418" s="874">
        <f t="shared" si="127"/>
        <v>0</v>
      </c>
      <c r="J418" s="874">
        <f t="shared" si="128"/>
        <v>0</v>
      </c>
      <c r="K418" s="244"/>
    </row>
    <row r="419" spans="1:11" ht="28.5" outlineLevel="2">
      <c r="A419" s="246">
        <v>7927</v>
      </c>
      <c r="B419" s="247" t="s">
        <v>67</v>
      </c>
      <c r="C419" s="247" t="s">
        <v>870</v>
      </c>
      <c r="D419" s="774" t="s">
        <v>871</v>
      </c>
      <c r="E419" s="353" t="s">
        <v>55</v>
      </c>
      <c r="F419" s="362">
        <f>'MEMORIAL DE CALCULO'!H2481</f>
        <v>6</v>
      </c>
      <c r="G419" s="1171"/>
      <c r="H419" s="270">
        <f t="shared" si="131"/>
        <v>0</v>
      </c>
      <c r="I419" s="874">
        <f t="shared" si="127"/>
        <v>0</v>
      </c>
      <c r="J419" s="874">
        <f t="shared" si="128"/>
        <v>0</v>
      </c>
      <c r="K419" s="244"/>
    </row>
    <row r="420" spans="1:11" ht="28.5" outlineLevel="2">
      <c r="A420" s="246">
        <v>7928</v>
      </c>
      <c r="B420" s="247" t="s">
        <v>67</v>
      </c>
      <c r="C420" s="247" t="s">
        <v>872</v>
      </c>
      <c r="D420" s="774" t="s">
        <v>873</v>
      </c>
      <c r="E420" s="353" t="s">
        <v>55</v>
      </c>
      <c r="F420" s="362">
        <f>'MEMORIAL DE CALCULO'!H2484</f>
        <v>4</v>
      </c>
      <c r="G420" s="1171"/>
      <c r="H420" s="270">
        <f t="shared" si="131"/>
        <v>0</v>
      </c>
      <c r="I420" s="874">
        <f t="shared" si="127"/>
        <v>0</v>
      </c>
      <c r="J420" s="874">
        <f t="shared" si="128"/>
        <v>0</v>
      </c>
      <c r="K420" s="244"/>
    </row>
    <row r="421" spans="1:11" ht="28.5" outlineLevel="2">
      <c r="A421" s="246">
        <v>7929</v>
      </c>
      <c r="B421" s="247" t="s">
        <v>67</v>
      </c>
      <c r="C421" s="247" t="s">
        <v>874</v>
      </c>
      <c r="D421" s="774" t="s">
        <v>875</v>
      </c>
      <c r="E421" s="353" t="s">
        <v>55</v>
      </c>
      <c r="F421" s="362">
        <f>'MEMORIAL DE CALCULO'!H2487</f>
        <v>16</v>
      </c>
      <c r="G421" s="1171"/>
      <c r="H421" s="270">
        <f t="shared" si="131"/>
        <v>0</v>
      </c>
      <c r="I421" s="874">
        <f t="shared" si="127"/>
        <v>0</v>
      </c>
      <c r="J421" s="874">
        <f t="shared" si="128"/>
        <v>0</v>
      </c>
      <c r="K421" s="244"/>
    </row>
    <row r="422" spans="1:11" ht="28.5" outlineLevel="2">
      <c r="A422" s="246">
        <v>93655</v>
      </c>
      <c r="B422" s="247" t="s">
        <v>26</v>
      </c>
      <c r="C422" s="247" t="s">
        <v>876</v>
      </c>
      <c r="D422" s="774" t="s">
        <v>877</v>
      </c>
      <c r="E422" s="353" t="s">
        <v>55</v>
      </c>
      <c r="F422" s="362">
        <f>'MEMORIAL DE CALCULO'!H2489</f>
        <v>3</v>
      </c>
      <c r="G422" s="1171"/>
      <c r="H422" s="270">
        <f t="shared" si="131"/>
        <v>0</v>
      </c>
      <c r="I422" s="874">
        <f t="shared" si="127"/>
        <v>0</v>
      </c>
      <c r="J422" s="874">
        <f t="shared" si="128"/>
        <v>0</v>
      </c>
      <c r="K422" s="244"/>
    </row>
    <row r="423" spans="1:11" ht="28.5" outlineLevel="2">
      <c r="A423" s="246">
        <v>93656</v>
      </c>
      <c r="B423" s="247" t="s">
        <v>26</v>
      </c>
      <c r="C423" s="247" t="s">
        <v>878</v>
      </c>
      <c r="D423" s="774" t="s">
        <v>879</v>
      </c>
      <c r="E423" s="353" t="s">
        <v>55</v>
      </c>
      <c r="F423" s="362">
        <f>'MEMORIAL DE CALCULO'!H2491</f>
        <v>7</v>
      </c>
      <c r="G423" s="1171"/>
      <c r="H423" s="270">
        <f t="shared" si="131"/>
        <v>0</v>
      </c>
      <c r="I423" s="874">
        <f t="shared" si="127"/>
        <v>0</v>
      </c>
      <c r="J423" s="874">
        <f t="shared" si="128"/>
        <v>0</v>
      </c>
      <c r="K423" s="244"/>
    </row>
    <row r="424" spans="1:11" ht="28.5" outlineLevel="2">
      <c r="A424" s="246">
        <v>93670</v>
      </c>
      <c r="B424" s="247" t="s">
        <v>26</v>
      </c>
      <c r="C424" s="247" t="s">
        <v>880</v>
      </c>
      <c r="D424" s="774" t="s">
        <v>881</v>
      </c>
      <c r="E424" s="353" t="s">
        <v>55</v>
      </c>
      <c r="F424" s="362">
        <f>'MEMORIAL DE CALCULO'!H2493</f>
        <v>5</v>
      </c>
      <c r="G424" s="1171"/>
      <c r="H424" s="270">
        <f t="shared" si="131"/>
        <v>0</v>
      </c>
      <c r="I424" s="270">
        <f t="shared" si="127"/>
        <v>0</v>
      </c>
      <c r="J424" s="270">
        <f t="shared" si="128"/>
        <v>0</v>
      </c>
      <c r="K424" s="244"/>
    </row>
    <row r="425" spans="1:11" ht="28.5" outlineLevel="2">
      <c r="A425" s="246">
        <v>93671</v>
      </c>
      <c r="B425" s="247" t="s">
        <v>26</v>
      </c>
      <c r="C425" s="247" t="s">
        <v>882</v>
      </c>
      <c r="D425" s="774" t="s">
        <v>883</v>
      </c>
      <c r="E425" s="353" t="s">
        <v>55</v>
      </c>
      <c r="F425" s="362">
        <f>'MEMORIAL DE CALCULO'!H2495</f>
        <v>4</v>
      </c>
      <c r="G425" s="1171"/>
      <c r="H425" s="270">
        <f t="shared" si="131"/>
        <v>0</v>
      </c>
      <c r="I425" s="874">
        <f t="shared" si="127"/>
        <v>0</v>
      </c>
      <c r="J425" s="874">
        <f t="shared" si="128"/>
        <v>0</v>
      </c>
      <c r="K425" s="244"/>
    </row>
    <row r="426" spans="1:11" ht="28.5" outlineLevel="2">
      <c r="A426" s="246">
        <v>93658</v>
      </c>
      <c r="B426" s="247" t="s">
        <v>26</v>
      </c>
      <c r="C426" s="247" t="s">
        <v>884</v>
      </c>
      <c r="D426" s="774" t="s">
        <v>885</v>
      </c>
      <c r="E426" s="353" t="s">
        <v>55</v>
      </c>
      <c r="F426" s="362">
        <f>'MEMORIAL DE CALCULO'!H2497</f>
        <v>1</v>
      </c>
      <c r="G426" s="1171"/>
      <c r="H426" s="270">
        <f t="shared" si="131"/>
        <v>0</v>
      </c>
      <c r="I426" s="874">
        <f t="shared" si="127"/>
        <v>0</v>
      </c>
      <c r="J426" s="874">
        <f t="shared" si="128"/>
        <v>0</v>
      </c>
      <c r="K426" s="244"/>
    </row>
    <row r="427" spans="1:11" ht="28.5" outlineLevel="2">
      <c r="A427" s="246">
        <v>11572</v>
      </c>
      <c r="B427" s="247" t="s">
        <v>67</v>
      </c>
      <c r="C427" s="247" t="s">
        <v>886</v>
      </c>
      <c r="D427" s="774" t="s">
        <v>887</v>
      </c>
      <c r="E427" s="353" t="s">
        <v>55</v>
      </c>
      <c r="F427" s="362">
        <f>'MEMORIAL DE CALCULO'!H2499</f>
        <v>1</v>
      </c>
      <c r="G427" s="1171"/>
      <c r="H427" s="270">
        <f t="shared" si="131"/>
        <v>0</v>
      </c>
      <c r="I427" s="874">
        <f t="shared" si="127"/>
        <v>0</v>
      </c>
      <c r="J427" s="874">
        <f t="shared" si="128"/>
        <v>0</v>
      </c>
      <c r="K427" s="244"/>
    </row>
    <row r="428" spans="1:11" ht="28.5" outlineLevel="2">
      <c r="A428" s="246">
        <v>9689</v>
      </c>
      <c r="B428" s="247" t="s">
        <v>67</v>
      </c>
      <c r="C428" s="247" t="s">
        <v>888</v>
      </c>
      <c r="D428" s="774" t="s">
        <v>889</v>
      </c>
      <c r="E428" s="353" t="s">
        <v>55</v>
      </c>
      <c r="F428" s="362">
        <f>'MEMORIAL DE CALCULO'!H2501</f>
        <v>1</v>
      </c>
      <c r="G428" s="1171"/>
      <c r="H428" s="270">
        <f t="shared" si="131"/>
        <v>0</v>
      </c>
      <c r="I428" s="874">
        <f t="shared" ref="I428:I429" si="132">F428*G428</f>
        <v>0</v>
      </c>
      <c r="J428" s="874">
        <f t="shared" ref="J428:J429" si="133">H428*F428</f>
        <v>0</v>
      </c>
      <c r="K428" s="244"/>
    </row>
    <row r="429" spans="1:11" ht="28.5" outlineLevel="2">
      <c r="A429" s="246">
        <v>9934</v>
      </c>
      <c r="B429" s="247" t="s">
        <v>67</v>
      </c>
      <c r="C429" s="247" t="s">
        <v>890</v>
      </c>
      <c r="D429" s="774" t="s">
        <v>891</v>
      </c>
      <c r="E429" s="353" t="s">
        <v>55</v>
      </c>
      <c r="F429" s="362">
        <f>'MEMORIAL DE CALCULO'!H2503</f>
        <v>1</v>
      </c>
      <c r="G429" s="1171"/>
      <c r="H429" s="270">
        <f t="shared" si="131"/>
        <v>0</v>
      </c>
      <c r="I429" s="874">
        <f t="shared" si="132"/>
        <v>0</v>
      </c>
      <c r="J429" s="874">
        <f t="shared" si="133"/>
        <v>0</v>
      </c>
      <c r="K429" s="244"/>
    </row>
    <row r="430" spans="1:11" ht="42.75" outlineLevel="2">
      <c r="A430" s="246">
        <v>93009</v>
      </c>
      <c r="B430" s="247" t="s">
        <v>26</v>
      </c>
      <c r="C430" s="247" t="s">
        <v>892</v>
      </c>
      <c r="D430" s="774" t="s">
        <v>893</v>
      </c>
      <c r="E430" s="353" t="s">
        <v>246</v>
      </c>
      <c r="F430" s="362">
        <f>'MEMORIAL DE CALCULO'!H2505</f>
        <v>103.02</v>
      </c>
      <c r="G430" s="1171"/>
      <c r="H430" s="270">
        <f t="shared" si="131"/>
        <v>0</v>
      </c>
      <c r="I430" s="874">
        <f t="shared" si="127"/>
        <v>0</v>
      </c>
      <c r="J430" s="874">
        <f t="shared" si="128"/>
        <v>0</v>
      </c>
      <c r="K430" s="244"/>
    </row>
    <row r="431" spans="1:11" ht="57" outlineLevel="2">
      <c r="A431" s="246">
        <v>93020</v>
      </c>
      <c r="B431" s="247" t="s">
        <v>26</v>
      </c>
      <c r="C431" s="247" t="s">
        <v>894</v>
      </c>
      <c r="D431" s="774" t="s">
        <v>895</v>
      </c>
      <c r="E431" s="353" t="s">
        <v>55</v>
      </c>
      <c r="F431" s="362">
        <f>'MEMORIAL DE CALCULO'!H2507</f>
        <v>4</v>
      </c>
      <c r="G431" s="1171"/>
      <c r="H431" s="270">
        <f t="shared" si="131"/>
        <v>0</v>
      </c>
      <c r="I431" s="874">
        <f t="shared" si="127"/>
        <v>0</v>
      </c>
      <c r="J431" s="874">
        <f t="shared" si="128"/>
        <v>0</v>
      </c>
      <c r="K431" s="244"/>
    </row>
    <row r="432" spans="1:11" ht="42.75" outlineLevel="2">
      <c r="A432" s="246">
        <v>93014</v>
      </c>
      <c r="B432" s="247" t="s">
        <v>26</v>
      </c>
      <c r="C432" s="247" t="s">
        <v>896</v>
      </c>
      <c r="D432" s="774" t="s">
        <v>897</v>
      </c>
      <c r="E432" s="353" t="s">
        <v>55</v>
      </c>
      <c r="F432" s="362">
        <f>'MEMORIAL DE CALCULO'!H2509</f>
        <v>40</v>
      </c>
      <c r="G432" s="1171"/>
      <c r="H432" s="270">
        <f t="shared" si="131"/>
        <v>0</v>
      </c>
      <c r="I432" s="874">
        <f t="shared" si="127"/>
        <v>0</v>
      </c>
      <c r="J432" s="874">
        <f t="shared" si="128"/>
        <v>0</v>
      </c>
      <c r="K432" s="244"/>
    </row>
    <row r="433" spans="1:11" outlineLevel="2">
      <c r="A433" s="246" t="s">
        <v>898</v>
      </c>
      <c r="B433" s="247" t="s">
        <v>67</v>
      </c>
      <c r="C433" s="247" t="s">
        <v>899</v>
      </c>
      <c r="D433" s="774" t="s">
        <v>900</v>
      </c>
      <c r="E433" s="353" t="s">
        <v>55</v>
      </c>
      <c r="F433" s="362">
        <f>'MEMORIAL DE CALCULO'!H2511</f>
        <v>10</v>
      </c>
      <c r="G433" s="1171"/>
      <c r="H433" s="270">
        <f t="shared" si="131"/>
        <v>0</v>
      </c>
      <c r="I433" s="874">
        <f t="shared" si="127"/>
        <v>0</v>
      </c>
      <c r="J433" s="874">
        <f t="shared" si="128"/>
        <v>0</v>
      </c>
      <c r="K433" s="244"/>
    </row>
    <row r="434" spans="1:11" ht="21" customHeight="1" outlineLevel="2">
      <c r="A434" s="246" t="s">
        <v>901</v>
      </c>
      <c r="B434" s="247" t="s">
        <v>26</v>
      </c>
      <c r="C434" s="247" t="s">
        <v>902</v>
      </c>
      <c r="D434" s="774" t="s">
        <v>903</v>
      </c>
      <c r="E434" s="353" t="s">
        <v>55</v>
      </c>
      <c r="F434" s="362">
        <f>'MEMORIAL DE CALCULO'!H2513</f>
        <v>10</v>
      </c>
      <c r="G434" s="1171"/>
      <c r="H434" s="270">
        <f t="shared" si="131"/>
        <v>0</v>
      </c>
      <c r="I434" s="874">
        <f t="shared" si="127"/>
        <v>0</v>
      </c>
      <c r="J434" s="874">
        <f t="shared" si="128"/>
        <v>0</v>
      </c>
      <c r="K434" s="244"/>
    </row>
    <row r="435" spans="1:11" outlineLevel="2">
      <c r="A435" s="246">
        <v>354</v>
      </c>
      <c r="B435" s="247" t="s">
        <v>67</v>
      </c>
      <c r="C435" s="247" t="s">
        <v>904</v>
      </c>
      <c r="D435" s="774" t="s">
        <v>905</v>
      </c>
      <c r="E435" s="353" t="s">
        <v>246</v>
      </c>
      <c r="F435" s="362">
        <f>'MEMORIAL DE CALCULO'!H2515</f>
        <v>123.858</v>
      </c>
      <c r="G435" s="1171"/>
      <c r="H435" s="270">
        <f t="shared" si="131"/>
        <v>0</v>
      </c>
      <c r="I435" s="874">
        <f t="shared" si="127"/>
        <v>0</v>
      </c>
      <c r="J435" s="874">
        <f t="shared" si="128"/>
        <v>0</v>
      </c>
      <c r="K435" s="244"/>
    </row>
    <row r="436" spans="1:11" ht="28.5" outlineLevel="2">
      <c r="A436" s="246">
        <v>363</v>
      </c>
      <c r="B436" s="247" t="s">
        <v>67</v>
      </c>
      <c r="C436" s="247" t="s">
        <v>906</v>
      </c>
      <c r="D436" s="774" t="s">
        <v>907</v>
      </c>
      <c r="E436" s="353" t="s">
        <v>55</v>
      </c>
      <c r="F436" s="362">
        <f>'MEMORIAL DE CALCULO'!H2517</f>
        <v>18</v>
      </c>
      <c r="G436" s="1171"/>
      <c r="H436" s="270">
        <f t="shared" si="131"/>
        <v>0</v>
      </c>
      <c r="I436" s="874">
        <f t="shared" si="127"/>
        <v>0</v>
      </c>
      <c r="J436" s="874">
        <f t="shared" si="128"/>
        <v>0</v>
      </c>
      <c r="K436" s="244"/>
    </row>
    <row r="437" spans="1:11" ht="42.75" outlineLevel="2">
      <c r="A437" s="246">
        <v>91876</v>
      </c>
      <c r="B437" s="247" t="s">
        <v>26</v>
      </c>
      <c r="C437" s="247" t="s">
        <v>908</v>
      </c>
      <c r="D437" s="774" t="s">
        <v>909</v>
      </c>
      <c r="E437" s="353" t="s">
        <v>55</v>
      </c>
      <c r="F437" s="362">
        <f>'MEMORIAL DE CALCULO'!H2519</f>
        <v>22</v>
      </c>
      <c r="G437" s="1171"/>
      <c r="H437" s="270">
        <f t="shared" si="131"/>
        <v>0</v>
      </c>
      <c r="I437" s="874">
        <f t="shared" si="127"/>
        <v>0</v>
      </c>
      <c r="J437" s="874">
        <f t="shared" si="128"/>
        <v>0</v>
      </c>
      <c r="K437" s="244"/>
    </row>
    <row r="438" spans="1:11" ht="18.75" customHeight="1" outlineLevel="2">
      <c r="A438" s="246" t="s">
        <v>910</v>
      </c>
      <c r="B438" s="247" t="s">
        <v>26</v>
      </c>
      <c r="C438" s="247" t="s">
        <v>911</v>
      </c>
      <c r="D438" s="774" t="s">
        <v>912</v>
      </c>
      <c r="E438" s="353" t="s">
        <v>55</v>
      </c>
      <c r="F438" s="362">
        <f>'MEMORIAL DE CALCULO'!H2521</f>
        <v>10</v>
      </c>
      <c r="G438" s="1171"/>
      <c r="H438" s="270">
        <f t="shared" si="131"/>
        <v>0</v>
      </c>
      <c r="I438" s="874">
        <f t="shared" si="127"/>
        <v>0</v>
      </c>
      <c r="J438" s="874">
        <f t="shared" si="128"/>
        <v>0</v>
      </c>
      <c r="K438" s="244"/>
    </row>
    <row r="439" spans="1:11" ht="28.5" outlineLevel="2">
      <c r="A439" s="246" t="s">
        <v>913</v>
      </c>
      <c r="B439" s="247" t="s">
        <v>26</v>
      </c>
      <c r="C439" s="247" t="s">
        <v>914</v>
      </c>
      <c r="D439" s="774" t="s">
        <v>915</v>
      </c>
      <c r="E439" s="353" t="s">
        <v>55</v>
      </c>
      <c r="F439" s="362">
        <f>'MEMORIAL DE CALCULO'!H2524</f>
        <v>10</v>
      </c>
      <c r="G439" s="1171"/>
      <c r="H439" s="270">
        <f t="shared" si="131"/>
        <v>0</v>
      </c>
      <c r="I439" s="874">
        <f t="shared" si="127"/>
        <v>0</v>
      </c>
      <c r="J439" s="874">
        <f t="shared" si="128"/>
        <v>0</v>
      </c>
      <c r="K439" s="244"/>
    </row>
    <row r="440" spans="1:11" ht="55.5" customHeight="1" outlineLevel="2">
      <c r="A440" s="246">
        <v>92990</v>
      </c>
      <c r="B440" s="247" t="s">
        <v>26</v>
      </c>
      <c r="C440" s="247" t="s">
        <v>916</v>
      </c>
      <c r="D440" s="774" t="s">
        <v>917</v>
      </c>
      <c r="E440" s="353" t="s">
        <v>246</v>
      </c>
      <c r="F440" s="362">
        <f>'MEMORIAL DE CALCULO'!H2527</f>
        <v>549.43999999999994</v>
      </c>
      <c r="G440" s="1171"/>
      <c r="H440" s="270">
        <f t="shared" si="131"/>
        <v>0</v>
      </c>
      <c r="I440" s="874">
        <f t="shared" si="127"/>
        <v>0</v>
      </c>
      <c r="J440" s="874">
        <f t="shared" si="128"/>
        <v>0</v>
      </c>
      <c r="K440" s="244"/>
    </row>
    <row r="441" spans="1:11" ht="78" customHeight="1" outlineLevel="2">
      <c r="A441" s="246">
        <v>95986</v>
      </c>
      <c r="B441" s="247" t="s">
        <v>26</v>
      </c>
      <c r="C441" s="247" t="s">
        <v>918</v>
      </c>
      <c r="D441" s="774" t="s">
        <v>919</v>
      </c>
      <c r="E441" s="353" t="s">
        <v>246</v>
      </c>
      <c r="F441" s="362">
        <f>'MEMORIAL DE CALCULO'!H2529</f>
        <v>137.35999999999999</v>
      </c>
      <c r="G441" s="1171"/>
      <c r="H441" s="270">
        <f t="shared" si="131"/>
        <v>0</v>
      </c>
      <c r="I441" s="874">
        <f t="shared" si="127"/>
        <v>0</v>
      </c>
      <c r="J441" s="874">
        <f t="shared" si="128"/>
        <v>0</v>
      </c>
      <c r="K441" s="244"/>
    </row>
    <row r="442" spans="1:11" ht="42.75" outlineLevel="2">
      <c r="A442" s="246">
        <v>92980</v>
      </c>
      <c r="B442" s="247" t="s">
        <v>26</v>
      </c>
      <c r="C442" s="247" t="s">
        <v>920</v>
      </c>
      <c r="D442" s="774" t="s">
        <v>921</v>
      </c>
      <c r="E442" s="353" t="s">
        <v>246</v>
      </c>
      <c r="F442" s="362">
        <f>'MEMORIAL DE CALCULO'!H2531</f>
        <v>28.8</v>
      </c>
      <c r="G442" s="1171"/>
      <c r="H442" s="270">
        <f t="shared" si="131"/>
        <v>0</v>
      </c>
      <c r="I442" s="874">
        <f t="shared" si="127"/>
        <v>0</v>
      </c>
      <c r="J442" s="874">
        <f t="shared" si="128"/>
        <v>0</v>
      </c>
      <c r="K442" s="244"/>
    </row>
    <row r="443" spans="1:11" ht="43.5" customHeight="1" outlineLevel="2">
      <c r="A443" s="246">
        <v>91931</v>
      </c>
      <c r="B443" s="247" t="s">
        <v>26</v>
      </c>
      <c r="C443" s="247" t="s">
        <v>922</v>
      </c>
      <c r="D443" s="774" t="s">
        <v>923</v>
      </c>
      <c r="E443" s="353" t="s">
        <v>246</v>
      </c>
      <c r="F443" s="362">
        <f>'MEMORIAL DE CALCULO'!H2533</f>
        <v>674.52</v>
      </c>
      <c r="G443" s="1171"/>
      <c r="H443" s="270">
        <f t="shared" si="131"/>
        <v>0</v>
      </c>
      <c r="I443" s="874">
        <f t="shared" si="127"/>
        <v>0</v>
      </c>
      <c r="J443" s="874">
        <f t="shared" si="128"/>
        <v>0</v>
      </c>
      <c r="K443" s="244"/>
    </row>
    <row r="444" spans="1:11" ht="43.5" customHeight="1" outlineLevel="2">
      <c r="A444" s="246">
        <v>91929</v>
      </c>
      <c r="B444" s="247" t="s">
        <v>26</v>
      </c>
      <c r="C444" s="247" t="s">
        <v>924</v>
      </c>
      <c r="D444" s="783" t="s">
        <v>925</v>
      </c>
      <c r="E444" s="775" t="s">
        <v>246</v>
      </c>
      <c r="F444" s="760">
        <f>'MEMORIAL DE CALCULO'!H2535</f>
        <v>1075.6679999999999</v>
      </c>
      <c r="G444" s="1171"/>
      <c r="H444" s="270">
        <f t="shared" si="131"/>
        <v>0</v>
      </c>
      <c r="I444" s="874">
        <f>F444*G444</f>
        <v>0</v>
      </c>
      <c r="J444" s="874">
        <f>H444*F444</f>
        <v>0</v>
      </c>
      <c r="K444" s="320"/>
    </row>
    <row r="445" spans="1:11" ht="33.75" customHeight="1" outlineLevel="2">
      <c r="A445" s="246">
        <v>8082</v>
      </c>
      <c r="B445" s="247" t="s">
        <v>67</v>
      </c>
      <c r="C445" s="247" t="s">
        <v>926</v>
      </c>
      <c r="D445" s="783" t="s">
        <v>927</v>
      </c>
      <c r="E445" s="355" t="s">
        <v>170</v>
      </c>
      <c r="F445" s="760">
        <f>'MEMORIAL DE CALCULO'!H2537</f>
        <v>3.55</v>
      </c>
      <c r="G445" s="1171"/>
      <c r="H445" s="270">
        <f t="shared" si="131"/>
        <v>0</v>
      </c>
      <c r="I445" s="874">
        <f t="shared" si="127"/>
        <v>0</v>
      </c>
      <c r="J445" s="874">
        <f t="shared" si="128"/>
        <v>0</v>
      </c>
      <c r="K445" s="320"/>
    </row>
    <row r="446" spans="1:11" ht="18" customHeight="1" outlineLevel="1">
      <c r="A446" s="251"/>
      <c r="B446" s="249"/>
      <c r="C446" s="249" t="s">
        <v>928</v>
      </c>
      <c r="D446" s="785" t="s">
        <v>929</v>
      </c>
      <c r="E446" s="983"/>
      <c r="F446" s="786"/>
      <c r="G446" s="787"/>
      <c r="H446" s="31"/>
      <c r="I446" s="250">
        <f>SUM(I447:I455)</f>
        <v>0</v>
      </c>
      <c r="J446" s="250">
        <f>SUM(J447:J455)</f>
        <v>0</v>
      </c>
      <c r="K446" s="32" t="e">
        <f>J446/$J$685</f>
        <v>#DIV/0!</v>
      </c>
    </row>
    <row r="447" spans="1:11" ht="44.25" outlineLevel="2">
      <c r="A447" s="246">
        <v>92004</v>
      </c>
      <c r="B447" s="247" t="s">
        <v>26</v>
      </c>
      <c r="C447" s="246" t="s">
        <v>930</v>
      </c>
      <c r="D447" s="774" t="s">
        <v>931</v>
      </c>
      <c r="E447" s="353" t="s">
        <v>55</v>
      </c>
      <c r="F447" s="362">
        <f>'MEMORIAL DE CALCULO'!H2542</f>
        <v>38</v>
      </c>
      <c r="G447" s="1171"/>
      <c r="H447" s="270">
        <f t="shared" si="131"/>
        <v>0</v>
      </c>
      <c r="I447" s="874">
        <f t="shared" ref="I447:I455" si="134">F447*G447</f>
        <v>0</v>
      </c>
      <c r="J447" s="874">
        <f t="shared" ref="J447:J455" si="135">H447*F447</f>
        <v>0</v>
      </c>
      <c r="K447" s="32"/>
    </row>
    <row r="448" spans="1:11" ht="45.75" customHeight="1" outlineLevel="2">
      <c r="A448" s="246">
        <v>780</v>
      </c>
      <c r="B448" s="247" t="s">
        <v>26</v>
      </c>
      <c r="C448" s="246" t="s">
        <v>932</v>
      </c>
      <c r="D448" s="774" t="s">
        <v>933</v>
      </c>
      <c r="E448" s="353" t="s">
        <v>55</v>
      </c>
      <c r="F448" s="362">
        <f>'MEMORIAL DE CALCULO'!H2544</f>
        <v>4</v>
      </c>
      <c r="G448" s="1171"/>
      <c r="H448" s="270">
        <f t="shared" si="131"/>
        <v>0</v>
      </c>
      <c r="I448" s="874">
        <f t="shared" si="134"/>
        <v>0</v>
      </c>
      <c r="J448" s="874">
        <f t="shared" si="135"/>
        <v>0</v>
      </c>
      <c r="K448" s="32"/>
    </row>
    <row r="449" spans="1:12" ht="36" customHeight="1" outlineLevel="2">
      <c r="A449" s="246">
        <v>711</v>
      </c>
      <c r="B449" s="247" t="s">
        <v>67</v>
      </c>
      <c r="C449" s="246" t="s">
        <v>934</v>
      </c>
      <c r="D449" s="774" t="s">
        <v>935</v>
      </c>
      <c r="E449" s="353" t="s">
        <v>55</v>
      </c>
      <c r="F449" s="362">
        <f>'MEMORIAL DE CALCULO'!H2546</f>
        <v>4</v>
      </c>
      <c r="G449" s="1171"/>
      <c r="H449" s="270">
        <f t="shared" si="131"/>
        <v>0</v>
      </c>
      <c r="I449" s="874">
        <f t="shared" si="134"/>
        <v>0</v>
      </c>
      <c r="J449" s="874">
        <f t="shared" si="135"/>
        <v>0</v>
      </c>
      <c r="K449" s="32"/>
    </row>
    <row r="450" spans="1:12" ht="27" customHeight="1" outlineLevel="2">
      <c r="A450" s="246">
        <v>8998</v>
      </c>
      <c r="B450" s="247" t="s">
        <v>67</v>
      </c>
      <c r="C450" s="246" t="s">
        <v>936</v>
      </c>
      <c r="D450" s="774" t="s">
        <v>937</v>
      </c>
      <c r="E450" s="353" t="s">
        <v>55</v>
      </c>
      <c r="F450" s="362">
        <f>'MEMORIAL DE CALCULO'!H2548</f>
        <v>6</v>
      </c>
      <c r="G450" s="1171"/>
      <c r="H450" s="270">
        <f t="shared" si="131"/>
        <v>0</v>
      </c>
      <c r="I450" s="874">
        <f t="shared" si="134"/>
        <v>0</v>
      </c>
      <c r="J450" s="874">
        <f t="shared" si="135"/>
        <v>0</v>
      </c>
      <c r="K450" s="32"/>
    </row>
    <row r="451" spans="1:12" ht="28.5" outlineLevel="2">
      <c r="A451" s="246">
        <v>698</v>
      </c>
      <c r="B451" s="247" t="s">
        <v>67</v>
      </c>
      <c r="C451" s="246" t="s">
        <v>938</v>
      </c>
      <c r="D451" s="774" t="s">
        <v>859</v>
      </c>
      <c r="E451" s="353" t="s">
        <v>55</v>
      </c>
      <c r="F451" s="362">
        <f>'MEMORIAL DE CALCULO'!H2550</f>
        <v>132</v>
      </c>
      <c r="G451" s="1171"/>
      <c r="H451" s="270">
        <f t="shared" si="131"/>
        <v>0</v>
      </c>
      <c r="I451" s="874">
        <f t="shared" si="134"/>
        <v>0</v>
      </c>
      <c r="J451" s="874">
        <f t="shared" si="135"/>
        <v>0</v>
      </c>
      <c r="K451" s="32"/>
    </row>
    <row r="452" spans="1:12" ht="28.5" outlineLevel="2">
      <c r="A452" s="246">
        <v>93654</v>
      </c>
      <c r="B452" s="247" t="s">
        <v>26</v>
      </c>
      <c r="C452" s="246" t="s">
        <v>939</v>
      </c>
      <c r="D452" s="774" t="s">
        <v>940</v>
      </c>
      <c r="E452" s="353" t="s">
        <v>55</v>
      </c>
      <c r="F452" s="362">
        <f>'MEMORIAL DE CALCULO'!H2552</f>
        <v>4</v>
      </c>
      <c r="G452" s="1171"/>
      <c r="H452" s="270">
        <f t="shared" si="131"/>
        <v>0</v>
      </c>
      <c r="I452" s="874">
        <f t="shared" ref="I452" si="136">F452*G452</f>
        <v>0</v>
      </c>
      <c r="J452" s="874">
        <f t="shared" ref="J452" si="137">H452*F452</f>
        <v>0</v>
      </c>
      <c r="K452" s="32"/>
    </row>
    <row r="453" spans="1:12" ht="28.5" outlineLevel="2">
      <c r="A453" s="246">
        <v>93655</v>
      </c>
      <c r="B453" s="247" t="s">
        <v>26</v>
      </c>
      <c r="C453" s="246" t="s">
        <v>941</v>
      </c>
      <c r="D453" s="774" t="s">
        <v>942</v>
      </c>
      <c r="E453" s="353" t="s">
        <v>55</v>
      </c>
      <c r="F453" s="362">
        <f>'MEMORIAL DE CALCULO'!H2554</f>
        <v>4</v>
      </c>
      <c r="G453" s="1171"/>
      <c r="H453" s="270">
        <f t="shared" si="131"/>
        <v>0</v>
      </c>
      <c r="I453" s="874">
        <f t="shared" si="134"/>
        <v>0</v>
      </c>
      <c r="J453" s="874">
        <f t="shared" si="135"/>
        <v>0</v>
      </c>
      <c r="K453" s="32"/>
    </row>
    <row r="454" spans="1:12" ht="42.75" outlineLevel="2">
      <c r="A454" s="246">
        <v>91854</v>
      </c>
      <c r="B454" s="247" t="s">
        <v>26</v>
      </c>
      <c r="C454" s="246" t="s">
        <v>943</v>
      </c>
      <c r="D454" s="774" t="s">
        <v>944</v>
      </c>
      <c r="E454" s="353" t="s">
        <v>246</v>
      </c>
      <c r="F454" s="362">
        <f>'MEMORIAL DE CALCULO'!H2556</f>
        <v>185.7</v>
      </c>
      <c r="G454" s="1171"/>
      <c r="H454" s="270">
        <f t="shared" si="131"/>
        <v>0</v>
      </c>
      <c r="I454" s="874">
        <f t="shared" si="134"/>
        <v>0</v>
      </c>
      <c r="J454" s="874">
        <f t="shared" si="135"/>
        <v>0</v>
      </c>
      <c r="K454" s="32"/>
    </row>
    <row r="455" spans="1:12" ht="42.75" outlineLevel="2">
      <c r="A455" s="246">
        <v>91926</v>
      </c>
      <c r="B455" s="247" t="s">
        <v>26</v>
      </c>
      <c r="C455" s="246" t="s">
        <v>945</v>
      </c>
      <c r="D455" s="774" t="s">
        <v>946</v>
      </c>
      <c r="E455" s="353" t="s">
        <v>246</v>
      </c>
      <c r="F455" s="362">
        <f>'MEMORIAL DE CALCULO'!H2558</f>
        <v>842.75999999999988</v>
      </c>
      <c r="G455" s="1171"/>
      <c r="H455" s="270">
        <f t="shared" si="131"/>
        <v>0</v>
      </c>
      <c r="I455" s="874">
        <f t="shared" si="134"/>
        <v>0</v>
      </c>
      <c r="J455" s="874">
        <f t="shared" si="135"/>
        <v>0</v>
      </c>
      <c r="K455" s="32"/>
    </row>
    <row r="456" spans="1:12" ht="18" customHeight="1" outlineLevel="1">
      <c r="A456" s="251"/>
      <c r="B456" s="249"/>
      <c r="C456" s="249" t="s">
        <v>947</v>
      </c>
      <c r="D456" s="785" t="s">
        <v>948</v>
      </c>
      <c r="E456" s="983"/>
      <c r="F456" s="786"/>
      <c r="G456" s="787"/>
      <c r="H456" s="31"/>
      <c r="I456" s="250">
        <f>SUM(I457:I483)</f>
        <v>0</v>
      </c>
      <c r="J456" s="250">
        <f>SUM(J457:J483)</f>
        <v>0</v>
      </c>
      <c r="K456" s="32" t="e">
        <f>J456/$J$685</f>
        <v>#DIV/0!</v>
      </c>
    </row>
    <row r="457" spans="1:12" ht="42.75" outlineLevel="2">
      <c r="A457" s="246">
        <v>824</v>
      </c>
      <c r="B457" s="247" t="s">
        <v>67</v>
      </c>
      <c r="C457" s="247" t="s">
        <v>949</v>
      </c>
      <c r="D457" s="784" t="s">
        <v>950</v>
      </c>
      <c r="E457" s="567" t="s">
        <v>55</v>
      </c>
      <c r="F457" s="739">
        <f>'MEMORIAL DE CALCULO'!H2562</f>
        <v>1</v>
      </c>
      <c r="G457" s="1171"/>
      <c r="H457" s="270">
        <f t="shared" si="131"/>
        <v>0</v>
      </c>
      <c r="I457" s="874">
        <f t="shared" ref="I457:I483" si="138">F457*G457</f>
        <v>0</v>
      </c>
      <c r="J457" s="874">
        <f t="shared" ref="J457:J483" si="139">H457*F457</f>
        <v>0</v>
      </c>
      <c r="K457" s="562"/>
      <c r="L457" s="536"/>
    </row>
    <row r="458" spans="1:12" ht="28.5" outlineLevel="2">
      <c r="A458" s="246">
        <v>8795</v>
      </c>
      <c r="B458" s="247" t="s">
        <v>67</v>
      </c>
      <c r="C458" s="247" t="s">
        <v>951</v>
      </c>
      <c r="D458" s="784" t="s">
        <v>952</v>
      </c>
      <c r="E458" s="567" t="s">
        <v>55</v>
      </c>
      <c r="F458" s="739">
        <f>'MEMORIAL DE CALCULO'!H2564</f>
        <v>8</v>
      </c>
      <c r="G458" s="1171"/>
      <c r="H458" s="270">
        <f t="shared" si="131"/>
        <v>0</v>
      </c>
      <c r="I458" s="874">
        <f t="shared" ref="I458" si="140">F458*G458</f>
        <v>0</v>
      </c>
      <c r="J458" s="874">
        <f t="shared" ref="J458" si="141">H458*F458</f>
        <v>0</v>
      </c>
      <c r="K458" s="562"/>
    </row>
    <row r="459" spans="1:12" ht="28.5" outlineLevel="2">
      <c r="A459" s="246">
        <v>8389</v>
      </c>
      <c r="B459" s="247" t="s">
        <v>67</v>
      </c>
      <c r="C459" s="247" t="s">
        <v>953</v>
      </c>
      <c r="D459" s="774" t="s">
        <v>954</v>
      </c>
      <c r="E459" s="353" t="s">
        <v>55</v>
      </c>
      <c r="F459" s="362">
        <f>'MEMORIAL DE CALCULO'!H2566</f>
        <v>14</v>
      </c>
      <c r="G459" s="1171"/>
      <c r="H459" s="270">
        <f t="shared" si="131"/>
        <v>0</v>
      </c>
      <c r="I459" s="874">
        <f t="shared" si="138"/>
        <v>0</v>
      </c>
      <c r="J459" s="874">
        <f t="shared" si="139"/>
        <v>0</v>
      </c>
      <c r="K459" s="32"/>
    </row>
    <row r="460" spans="1:12" ht="28.5" outlineLevel="2">
      <c r="A460" s="246">
        <v>10694</v>
      </c>
      <c r="B460" s="247" t="s">
        <v>67</v>
      </c>
      <c r="C460" s="247" t="s">
        <v>955</v>
      </c>
      <c r="D460" s="774" t="s">
        <v>956</v>
      </c>
      <c r="E460" s="353" t="s">
        <v>55</v>
      </c>
      <c r="F460" s="362">
        <f>'MEMORIAL DE CALCULO'!H2568</f>
        <v>30</v>
      </c>
      <c r="G460" s="1171"/>
      <c r="H460" s="270">
        <f t="shared" si="131"/>
        <v>0</v>
      </c>
      <c r="I460" s="874">
        <f t="shared" si="138"/>
        <v>0</v>
      </c>
      <c r="J460" s="874">
        <f t="shared" si="139"/>
        <v>0</v>
      </c>
      <c r="K460" s="32"/>
    </row>
    <row r="461" spans="1:12" ht="28.5" outlineLevel="2">
      <c r="A461" s="246">
        <v>9900</v>
      </c>
      <c r="B461" s="247" t="s">
        <v>67</v>
      </c>
      <c r="C461" s="247" t="s">
        <v>957</v>
      </c>
      <c r="D461" s="774" t="s">
        <v>958</v>
      </c>
      <c r="E461" s="353" t="s">
        <v>55</v>
      </c>
      <c r="F461" s="362">
        <f>'MEMORIAL DE CALCULO'!H2570</f>
        <v>16</v>
      </c>
      <c r="G461" s="1171"/>
      <c r="H461" s="270">
        <f t="shared" si="131"/>
        <v>0</v>
      </c>
      <c r="I461" s="874">
        <f t="shared" si="138"/>
        <v>0</v>
      </c>
      <c r="J461" s="874">
        <f t="shared" si="139"/>
        <v>0</v>
      </c>
      <c r="K461" s="32"/>
    </row>
    <row r="462" spans="1:12" ht="28.5" outlineLevel="2">
      <c r="A462" s="246">
        <v>10091</v>
      </c>
      <c r="B462" s="247" t="s">
        <v>67</v>
      </c>
      <c r="C462" s="247" t="s">
        <v>959</v>
      </c>
      <c r="D462" s="774" t="s">
        <v>960</v>
      </c>
      <c r="E462" s="353" t="s">
        <v>55</v>
      </c>
      <c r="F462" s="362">
        <f>'MEMORIAL DE CALCULO'!H2572</f>
        <v>180</v>
      </c>
      <c r="G462" s="1171"/>
      <c r="H462" s="270">
        <f t="shared" si="131"/>
        <v>0</v>
      </c>
      <c r="I462" s="874">
        <f t="shared" si="138"/>
        <v>0</v>
      </c>
      <c r="J462" s="874">
        <f t="shared" si="139"/>
        <v>0</v>
      </c>
      <c r="K462" s="32"/>
    </row>
    <row r="463" spans="1:12" ht="42.75" outlineLevel="2">
      <c r="A463" s="246">
        <v>11132</v>
      </c>
      <c r="B463" s="247" t="s">
        <v>67</v>
      </c>
      <c r="C463" s="247" t="s">
        <v>961</v>
      </c>
      <c r="D463" s="774" t="s">
        <v>962</v>
      </c>
      <c r="E463" s="353" t="s">
        <v>55</v>
      </c>
      <c r="F463" s="362">
        <f>'MEMORIAL DE CALCULO'!H2574</f>
        <v>308</v>
      </c>
      <c r="G463" s="1171"/>
      <c r="H463" s="270">
        <f t="shared" si="131"/>
        <v>0</v>
      </c>
      <c r="I463" s="874">
        <f t="shared" si="138"/>
        <v>0</v>
      </c>
      <c r="J463" s="874">
        <f t="shared" si="139"/>
        <v>0</v>
      </c>
      <c r="K463" s="32"/>
    </row>
    <row r="464" spans="1:12" ht="28.5" outlineLevel="2">
      <c r="A464" s="246">
        <v>11039</v>
      </c>
      <c r="B464" s="247" t="s">
        <v>67</v>
      </c>
      <c r="C464" s="247" t="s">
        <v>963</v>
      </c>
      <c r="D464" s="774" t="s">
        <v>964</v>
      </c>
      <c r="E464" s="353" t="s">
        <v>55</v>
      </c>
      <c r="F464" s="362">
        <f>'MEMORIAL DE CALCULO'!H2576</f>
        <v>308</v>
      </c>
      <c r="G464" s="1171"/>
      <c r="H464" s="270">
        <f t="shared" si="131"/>
        <v>0</v>
      </c>
      <c r="I464" s="874">
        <f t="shared" si="138"/>
        <v>0</v>
      </c>
      <c r="J464" s="874">
        <f t="shared" si="139"/>
        <v>0</v>
      </c>
      <c r="K464" s="32"/>
    </row>
    <row r="465" spans="1:11" ht="26.45" customHeight="1" outlineLevel="2">
      <c r="A465" s="246">
        <v>10908</v>
      </c>
      <c r="B465" s="247" t="s">
        <v>67</v>
      </c>
      <c r="C465" s="247" t="s">
        <v>965</v>
      </c>
      <c r="D465" s="774" t="s">
        <v>966</v>
      </c>
      <c r="E465" s="353" t="s">
        <v>55</v>
      </c>
      <c r="F465" s="362">
        <f>'MEMORIAL DE CALCULO'!H2578</f>
        <v>14</v>
      </c>
      <c r="G465" s="1171"/>
      <c r="H465" s="270">
        <f t="shared" si="131"/>
        <v>0</v>
      </c>
      <c r="I465" s="874">
        <f t="shared" si="138"/>
        <v>0</v>
      </c>
      <c r="J465" s="874">
        <f t="shared" si="139"/>
        <v>0</v>
      </c>
      <c r="K465" s="32"/>
    </row>
    <row r="466" spans="1:11" ht="42.75" outlineLevel="2">
      <c r="A466" s="246">
        <v>11133</v>
      </c>
      <c r="B466" s="247" t="s">
        <v>67</v>
      </c>
      <c r="C466" s="247" t="s">
        <v>967</v>
      </c>
      <c r="D466" s="774" t="s">
        <v>968</v>
      </c>
      <c r="E466" s="353" t="s">
        <v>55</v>
      </c>
      <c r="F466" s="362">
        <f>'MEMORIAL DE CALCULO'!H2580</f>
        <v>1</v>
      </c>
      <c r="G466" s="1171"/>
      <c r="H466" s="270">
        <f t="shared" si="131"/>
        <v>0</v>
      </c>
      <c r="I466" s="874">
        <f t="shared" si="138"/>
        <v>0</v>
      </c>
      <c r="J466" s="874">
        <f t="shared" si="139"/>
        <v>0</v>
      </c>
      <c r="K466" s="32"/>
    </row>
    <row r="467" spans="1:11" ht="20.45" customHeight="1" outlineLevel="2">
      <c r="A467" s="246" t="s">
        <v>722</v>
      </c>
      <c r="B467" s="247" t="s">
        <v>67</v>
      </c>
      <c r="C467" s="247" t="s">
        <v>969</v>
      </c>
      <c r="D467" s="774" t="s">
        <v>724</v>
      </c>
      <c r="E467" s="353" t="s">
        <v>55</v>
      </c>
      <c r="F467" s="362">
        <f>'MEMORIAL DE CALCULO'!H2583</f>
        <v>14</v>
      </c>
      <c r="G467" s="1171"/>
      <c r="H467" s="270">
        <f t="shared" si="131"/>
        <v>0</v>
      </c>
      <c r="I467" s="874">
        <f t="shared" si="138"/>
        <v>0</v>
      </c>
      <c r="J467" s="874">
        <f t="shared" si="139"/>
        <v>0</v>
      </c>
      <c r="K467" s="32"/>
    </row>
    <row r="468" spans="1:11" ht="28.5" outlineLevel="2">
      <c r="A468" s="246" t="s">
        <v>725</v>
      </c>
      <c r="B468" s="247" t="s">
        <v>67</v>
      </c>
      <c r="C468" s="247" t="s">
        <v>970</v>
      </c>
      <c r="D468" s="774" t="s">
        <v>727</v>
      </c>
      <c r="E468" s="353" t="s">
        <v>55</v>
      </c>
      <c r="F468" s="362">
        <f>'MEMORIAL DE CALCULO'!H2585</f>
        <v>4</v>
      </c>
      <c r="G468" s="1171"/>
      <c r="H468" s="270">
        <f t="shared" si="131"/>
        <v>0</v>
      </c>
      <c r="I468" s="874">
        <f t="shared" si="138"/>
        <v>0</v>
      </c>
      <c r="J468" s="874">
        <f t="shared" si="139"/>
        <v>0</v>
      </c>
      <c r="K468" s="32"/>
    </row>
    <row r="469" spans="1:11" ht="28.5" outlineLevel="2">
      <c r="A469" s="246" t="s">
        <v>971</v>
      </c>
      <c r="B469" s="247" t="s">
        <v>67</v>
      </c>
      <c r="C469" s="247" t="s">
        <v>972</v>
      </c>
      <c r="D469" s="774" t="s">
        <v>973</v>
      </c>
      <c r="E469" s="353" t="s">
        <v>55</v>
      </c>
      <c r="F469" s="362">
        <f>'MEMORIAL DE CALCULO'!H2587</f>
        <v>2</v>
      </c>
      <c r="G469" s="1171"/>
      <c r="H469" s="270">
        <f t="shared" si="131"/>
        <v>0</v>
      </c>
      <c r="I469" s="874">
        <f t="shared" si="138"/>
        <v>0</v>
      </c>
      <c r="J469" s="874">
        <f t="shared" si="139"/>
        <v>0</v>
      </c>
      <c r="K469" s="32"/>
    </row>
    <row r="470" spans="1:11" ht="28.5" outlineLevel="2">
      <c r="A470" s="246" t="s">
        <v>974</v>
      </c>
      <c r="B470" s="247" t="s">
        <v>26</v>
      </c>
      <c r="C470" s="247" t="s">
        <v>975</v>
      </c>
      <c r="D470" s="774" t="s">
        <v>976</v>
      </c>
      <c r="E470" s="353" t="s">
        <v>55</v>
      </c>
      <c r="F470" s="362">
        <f>'MEMORIAL DE CALCULO'!H2589</f>
        <v>2</v>
      </c>
      <c r="G470" s="1171"/>
      <c r="H470" s="270">
        <f t="shared" ref="H470:H533" si="142">G470*$I$5</f>
        <v>0</v>
      </c>
      <c r="I470" s="874">
        <f t="shared" si="138"/>
        <v>0</v>
      </c>
      <c r="J470" s="874">
        <f t="shared" si="139"/>
        <v>0</v>
      </c>
      <c r="K470" s="32"/>
    </row>
    <row r="471" spans="1:11" ht="28.5" outlineLevel="2">
      <c r="A471" s="246">
        <v>96985</v>
      </c>
      <c r="B471" s="247" t="s">
        <v>26</v>
      </c>
      <c r="C471" s="247" t="s">
        <v>977</v>
      </c>
      <c r="D471" s="774" t="s">
        <v>978</v>
      </c>
      <c r="E471" s="353" t="s">
        <v>55</v>
      </c>
      <c r="F471" s="362">
        <f>'MEMORIAL DE CALCULO'!H2591</f>
        <v>14</v>
      </c>
      <c r="G471" s="1171"/>
      <c r="H471" s="270">
        <f t="shared" si="142"/>
        <v>0</v>
      </c>
      <c r="I471" s="874">
        <f t="shared" si="138"/>
        <v>0</v>
      </c>
      <c r="J471" s="874">
        <f t="shared" si="139"/>
        <v>0</v>
      </c>
      <c r="K471" s="32"/>
    </row>
    <row r="472" spans="1:11" ht="26.45" customHeight="1" outlineLevel="2">
      <c r="A472" s="246">
        <v>9953</v>
      </c>
      <c r="B472" s="247" t="s">
        <v>67</v>
      </c>
      <c r="C472" s="247" t="s">
        <v>979</v>
      </c>
      <c r="D472" s="774" t="s">
        <v>980</v>
      </c>
      <c r="E472" s="353" t="s">
        <v>55</v>
      </c>
      <c r="F472" s="362">
        <f>'MEMORIAL DE CALCULO'!H2593</f>
        <v>18</v>
      </c>
      <c r="G472" s="1171"/>
      <c r="H472" s="270">
        <f t="shared" si="142"/>
        <v>0</v>
      </c>
      <c r="I472" s="874">
        <f t="shared" si="138"/>
        <v>0</v>
      </c>
      <c r="J472" s="874">
        <f t="shared" si="139"/>
        <v>0</v>
      </c>
      <c r="K472" s="32"/>
    </row>
    <row r="473" spans="1:11" ht="28.5" outlineLevel="2">
      <c r="A473" s="246">
        <v>10427</v>
      </c>
      <c r="B473" s="247" t="s">
        <v>67</v>
      </c>
      <c r="C473" s="247" t="s">
        <v>981</v>
      </c>
      <c r="D473" s="774" t="s">
        <v>982</v>
      </c>
      <c r="E473" s="353" t="s">
        <v>55</v>
      </c>
      <c r="F473" s="362">
        <f>'MEMORIAL DE CALCULO'!H2595</f>
        <v>10</v>
      </c>
      <c r="G473" s="1171"/>
      <c r="H473" s="270">
        <f t="shared" si="142"/>
        <v>0</v>
      </c>
      <c r="I473" s="874">
        <f t="shared" si="138"/>
        <v>0</v>
      </c>
      <c r="J473" s="874">
        <f t="shared" si="139"/>
        <v>0</v>
      </c>
      <c r="K473" s="32"/>
    </row>
    <row r="474" spans="1:11" ht="28.5" outlineLevel="2">
      <c r="A474" s="246">
        <v>10428</v>
      </c>
      <c r="B474" s="247" t="s">
        <v>67</v>
      </c>
      <c r="C474" s="247" t="s">
        <v>983</v>
      </c>
      <c r="D474" s="774" t="s">
        <v>984</v>
      </c>
      <c r="E474" s="353" t="s">
        <v>55</v>
      </c>
      <c r="F474" s="362">
        <f>'MEMORIAL DE CALCULO'!H2597</f>
        <v>8</v>
      </c>
      <c r="G474" s="1171"/>
      <c r="H474" s="270">
        <f t="shared" si="142"/>
        <v>0</v>
      </c>
      <c r="I474" s="874">
        <f t="shared" si="138"/>
        <v>0</v>
      </c>
      <c r="J474" s="874">
        <f t="shared" si="139"/>
        <v>0</v>
      </c>
      <c r="K474" s="32"/>
    </row>
    <row r="475" spans="1:11" ht="30.75" customHeight="1" outlineLevel="2">
      <c r="A475" s="246">
        <v>9392</v>
      </c>
      <c r="B475" s="247" t="s">
        <v>67</v>
      </c>
      <c r="C475" s="247" t="s">
        <v>985</v>
      </c>
      <c r="D475" s="774" t="s">
        <v>986</v>
      </c>
      <c r="E475" s="353" t="s">
        <v>170</v>
      </c>
      <c r="F475" s="362">
        <f>'MEMORIAL DE CALCULO'!H2599</f>
        <v>149.49113924050633</v>
      </c>
      <c r="G475" s="1171"/>
      <c r="H475" s="270">
        <f t="shared" si="142"/>
        <v>0</v>
      </c>
      <c r="I475" s="874">
        <f t="shared" si="138"/>
        <v>0</v>
      </c>
      <c r="J475" s="874">
        <f t="shared" si="139"/>
        <v>0</v>
      </c>
      <c r="K475" s="32"/>
    </row>
    <row r="476" spans="1:11" ht="30.75" customHeight="1" outlineLevel="2">
      <c r="A476" s="246">
        <v>8082</v>
      </c>
      <c r="B476" s="247" t="s">
        <v>67</v>
      </c>
      <c r="C476" s="247" t="s">
        <v>987</v>
      </c>
      <c r="D476" s="774" t="s">
        <v>927</v>
      </c>
      <c r="E476" s="353" t="s">
        <v>170</v>
      </c>
      <c r="F476" s="362">
        <f>'MEMORIAL DE CALCULO'!H2601</f>
        <v>147.99118942731278</v>
      </c>
      <c r="G476" s="1171"/>
      <c r="H476" s="270">
        <f t="shared" si="142"/>
        <v>0</v>
      </c>
      <c r="I476" s="874">
        <f t="shared" si="138"/>
        <v>0</v>
      </c>
      <c r="J476" s="874">
        <f t="shared" si="139"/>
        <v>0</v>
      </c>
      <c r="K476" s="32"/>
    </row>
    <row r="477" spans="1:11" ht="28.5" outlineLevel="2">
      <c r="A477" s="246">
        <v>7928</v>
      </c>
      <c r="B477" s="247" t="s">
        <v>67</v>
      </c>
      <c r="C477" s="247" t="s">
        <v>988</v>
      </c>
      <c r="D477" s="789" t="s">
        <v>989</v>
      </c>
      <c r="E477" s="775" t="s">
        <v>55</v>
      </c>
      <c r="F477" s="776">
        <f>'MEMORIAL DE CALCULO'!H2603</f>
        <v>14</v>
      </c>
      <c r="G477" s="1171"/>
      <c r="H477" s="270">
        <f t="shared" si="142"/>
        <v>0</v>
      </c>
      <c r="I477" s="874">
        <f t="shared" si="138"/>
        <v>0</v>
      </c>
      <c r="J477" s="874">
        <f t="shared" si="139"/>
        <v>0</v>
      </c>
      <c r="K477" s="32"/>
    </row>
    <row r="478" spans="1:11" ht="28.5" outlineLevel="2">
      <c r="A478" s="257">
        <v>72263</v>
      </c>
      <c r="B478" s="258" t="s">
        <v>26</v>
      </c>
      <c r="C478" s="247" t="s">
        <v>990</v>
      </c>
      <c r="D478" s="774" t="s">
        <v>991</v>
      </c>
      <c r="E478" s="353" t="s">
        <v>55</v>
      </c>
      <c r="F478" s="362">
        <f>'MEMORIAL DE CALCULO'!H2605</f>
        <v>20</v>
      </c>
      <c r="G478" s="1171"/>
      <c r="H478" s="270">
        <f t="shared" si="142"/>
        <v>0</v>
      </c>
      <c r="I478" s="874">
        <f t="shared" si="138"/>
        <v>0</v>
      </c>
      <c r="J478" s="874">
        <f t="shared" si="139"/>
        <v>0</v>
      </c>
      <c r="K478" s="32"/>
    </row>
    <row r="479" spans="1:11" ht="22.9" customHeight="1" outlineLevel="2">
      <c r="A479" s="246">
        <v>10620</v>
      </c>
      <c r="B479" s="247" t="s">
        <v>67</v>
      </c>
      <c r="C479" s="247" t="s">
        <v>992</v>
      </c>
      <c r="D479" s="789" t="s">
        <v>993</v>
      </c>
      <c r="E479" s="353" t="s">
        <v>55</v>
      </c>
      <c r="F479" s="362">
        <f>'MEMORIAL DE CALCULO'!H2607</f>
        <v>360</v>
      </c>
      <c r="G479" s="1171"/>
      <c r="H479" s="270">
        <f t="shared" si="142"/>
        <v>0</v>
      </c>
      <c r="I479" s="874">
        <f t="shared" si="138"/>
        <v>0</v>
      </c>
      <c r="J479" s="874">
        <f t="shared" si="139"/>
        <v>0</v>
      </c>
      <c r="K479" s="32"/>
    </row>
    <row r="480" spans="1:11" ht="42.75" outlineLevel="2">
      <c r="A480" s="246">
        <v>11273</v>
      </c>
      <c r="B480" s="247" t="s">
        <v>67</v>
      </c>
      <c r="C480" s="247" t="s">
        <v>994</v>
      </c>
      <c r="D480" s="774" t="s">
        <v>995</v>
      </c>
      <c r="E480" s="353" t="s">
        <v>55</v>
      </c>
      <c r="F480" s="362">
        <f>'MEMORIAL DE CALCULO'!H2609</f>
        <v>1</v>
      </c>
      <c r="G480" s="1171"/>
      <c r="H480" s="270">
        <f t="shared" si="142"/>
        <v>0</v>
      </c>
      <c r="I480" s="874">
        <f t="shared" si="138"/>
        <v>0</v>
      </c>
      <c r="J480" s="874">
        <f t="shared" si="139"/>
        <v>0</v>
      </c>
      <c r="K480" s="32"/>
    </row>
    <row r="481" spans="1:11" ht="42.75" outlineLevel="2">
      <c r="A481" s="246">
        <v>93010</v>
      </c>
      <c r="B481" s="247" t="s">
        <v>26</v>
      </c>
      <c r="C481" s="247" t="s">
        <v>996</v>
      </c>
      <c r="D481" s="774" t="s">
        <v>997</v>
      </c>
      <c r="E481" s="353" t="s">
        <v>246</v>
      </c>
      <c r="F481" s="362">
        <f>'MEMORIAL DE CALCULO'!H2611</f>
        <v>335.94</v>
      </c>
      <c r="G481" s="1171"/>
      <c r="H481" s="270">
        <f t="shared" si="142"/>
        <v>0</v>
      </c>
      <c r="I481" s="874">
        <f t="shared" si="138"/>
        <v>0</v>
      </c>
      <c r="J481" s="874">
        <f t="shared" si="139"/>
        <v>0</v>
      </c>
      <c r="K481" s="32"/>
    </row>
    <row r="482" spans="1:11" ht="28.5" outlineLevel="2">
      <c r="A482" s="246">
        <v>10728</v>
      </c>
      <c r="B482" s="247" t="s">
        <v>67</v>
      </c>
      <c r="C482" s="247" t="s">
        <v>998</v>
      </c>
      <c r="D482" s="783" t="s">
        <v>999</v>
      </c>
      <c r="E482" s="355" t="s">
        <v>55</v>
      </c>
      <c r="F482" s="760">
        <f>'MEMORIAL DE CALCULO'!H2612</f>
        <v>335.94</v>
      </c>
      <c r="G482" s="1171"/>
      <c r="H482" s="270">
        <f t="shared" si="142"/>
        <v>0</v>
      </c>
      <c r="I482" s="874">
        <f t="shared" si="138"/>
        <v>0</v>
      </c>
      <c r="J482" s="874">
        <f t="shared" si="139"/>
        <v>0</v>
      </c>
      <c r="K482" s="319"/>
    </row>
    <row r="483" spans="1:11" ht="28.5" outlineLevel="2">
      <c r="A483" s="246">
        <v>98111</v>
      </c>
      <c r="B483" s="247" t="s">
        <v>26</v>
      </c>
      <c r="C483" s="247" t="s">
        <v>1000</v>
      </c>
      <c r="D483" s="783" t="s">
        <v>1001</v>
      </c>
      <c r="E483" s="355" t="s">
        <v>55</v>
      </c>
      <c r="F483" s="760">
        <f>'MEMORIAL DE CALCULO'!H2615</f>
        <v>14</v>
      </c>
      <c r="G483" s="1171"/>
      <c r="H483" s="270">
        <f t="shared" si="142"/>
        <v>0</v>
      </c>
      <c r="I483" s="874">
        <f t="shared" si="138"/>
        <v>0</v>
      </c>
      <c r="J483" s="874">
        <f t="shared" si="139"/>
        <v>0</v>
      </c>
      <c r="K483" s="319"/>
    </row>
    <row r="484" spans="1:11" s="44" customFormat="1" ht="18" customHeight="1" outlineLevel="1">
      <c r="A484" s="257"/>
      <c r="B484" s="258"/>
      <c r="C484" s="262" t="s">
        <v>1002</v>
      </c>
      <c r="D484" s="790" t="s">
        <v>1003</v>
      </c>
      <c r="E484" s="791"/>
      <c r="F484" s="792"/>
      <c r="G484" s="793"/>
      <c r="H484" s="48"/>
      <c r="I484" s="274">
        <f>SUM(I485:I519)</f>
        <v>0</v>
      </c>
      <c r="J484" s="274">
        <f>SUM(J485:J519)</f>
        <v>0</v>
      </c>
      <c r="K484" s="49" t="e">
        <f>J484/$J$685</f>
        <v>#DIV/0!</v>
      </c>
    </row>
    <row r="485" spans="1:11" ht="44.25" outlineLevel="2">
      <c r="A485" s="246">
        <v>92004</v>
      </c>
      <c r="B485" s="247" t="s">
        <v>26</v>
      </c>
      <c r="C485" s="246" t="s">
        <v>1004</v>
      </c>
      <c r="D485" s="774" t="s">
        <v>1005</v>
      </c>
      <c r="E485" s="567" t="s">
        <v>55</v>
      </c>
      <c r="F485" s="739">
        <f>'MEMORIAL DE CALCULO'!H2619</f>
        <v>110</v>
      </c>
      <c r="G485" s="1171"/>
      <c r="H485" s="270">
        <f t="shared" si="142"/>
        <v>0</v>
      </c>
      <c r="I485" s="874">
        <f t="shared" ref="I485:I516" si="143">F485*G485</f>
        <v>0</v>
      </c>
      <c r="J485" s="874">
        <f t="shared" ref="J485:J516" si="144">H485*F485</f>
        <v>0</v>
      </c>
      <c r="K485" s="562"/>
    </row>
    <row r="486" spans="1:11" ht="46.5" customHeight="1" outlineLevel="2">
      <c r="A486" s="246">
        <v>91997</v>
      </c>
      <c r="B486" s="247" t="s">
        <v>26</v>
      </c>
      <c r="C486" s="246" t="s">
        <v>1006</v>
      </c>
      <c r="D486" s="774" t="s">
        <v>1007</v>
      </c>
      <c r="E486" s="353" t="s">
        <v>55</v>
      </c>
      <c r="F486" s="362">
        <f>'MEMORIAL DE CALCULO'!H2622</f>
        <v>6</v>
      </c>
      <c r="G486" s="1171"/>
      <c r="H486" s="270">
        <f t="shared" si="142"/>
        <v>0</v>
      </c>
      <c r="I486" s="874">
        <f t="shared" si="143"/>
        <v>0</v>
      </c>
      <c r="J486" s="874">
        <f t="shared" si="144"/>
        <v>0</v>
      </c>
      <c r="K486" s="32"/>
    </row>
    <row r="487" spans="1:11" ht="44.25" outlineLevel="2">
      <c r="A487" s="246">
        <v>91996</v>
      </c>
      <c r="B487" s="247" t="s">
        <v>26</v>
      </c>
      <c r="C487" s="246" t="s">
        <v>1008</v>
      </c>
      <c r="D487" s="779" t="s">
        <v>1009</v>
      </c>
      <c r="E487" s="353" t="s">
        <v>55</v>
      </c>
      <c r="F487" s="362">
        <f>'MEMORIAL DE CALCULO'!H2623</f>
        <v>50</v>
      </c>
      <c r="G487" s="1171"/>
      <c r="H487" s="270">
        <f t="shared" si="142"/>
        <v>0</v>
      </c>
      <c r="I487" s="874">
        <f t="shared" si="143"/>
        <v>0</v>
      </c>
      <c r="J487" s="874">
        <f t="shared" si="144"/>
        <v>0</v>
      </c>
      <c r="K487" s="32"/>
    </row>
    <row r="488" spans="1:11" ht="59.25" outlineLevel="2">
      <c r="A488" s="246">
        <v>91922</v>
      </c>
      <c r="B488" s="247" t="s">
        <v>26</v>
      </c>
      <c r="C488" s="246" t="s">
        <v>1010</v>
      </c>
      <c r="D488" s="779" t="s">
        <v>1011</v>
      </c>
      <c r="E488" s="353" t="s">
        <v>55</v>
      </c>
      <c r="F488" s="362">
        <f>'MEMORIAL DE CALCULO'!H2625</f>
        <v>12</v>
      </c>
      <c r="G488" s="1171"/>
      <c r="H488" s="270">
        <f t="shared" si="142"/>
        <v>0</v>
      </c>
      <c r="I488" s="874">
        <f t="shared" ref="I488" si="145">F488*G488</f>
        <v>0</v>
      </c>
      <c r="J488" s="874">
        <f t="shared" ref="J488" si="146">H488*F488</f>
        <v>0</v>
      </c>
      <c r="K488" s="32"/>
    </row>
    <row r="489" spans="1:11" ht="43.5" outlineLevel="2">
      <c r="A489" s="246">
        <v>91961</v>
      </c>
      <c r="B489" s="247" t="s">
        <v>26</v>
      </c>
      <c r="C489" s="246" t="s">
        <v>1012</v>
      </c>
      <c r="D489" s="779" t="s">
        <v>1013</v>
      </c>
      <c r="E489" s="353" t="s">
        <v>55</v>
      </c>
      <c r="F489" s="362">
        <f>'MEMORIAL DE CALCULO'!H2627</f>
        <v>14</v>
      </c>
      <c r="G489" s="1171"/>
      <c r="H489" s="270">
        <f t="shared" si="142"/>
        <v>0</v>
      </c>
      <c r="I489" s="874">
        <f t="shared" ref="I489:I494" si="147">F489*G489</f>
        <v>0</v>
      </c>
      <c r="J489" s="874">
        <f t="shared" ref="J489:J494" si="148">H489*F489</f>
        <v>0</v>
      </c>
      <c r="K489" s="32"/>
    </row>
    <row r="490" spans="1:11" ht="58.5" outlineLevel="2">
      <c r="A490" s="246">
        <v>92023</v>
      </c>
      <c r="B490" s="247" t="s">
        <v>26</v>
      </c>
      <c r="C490" s="246" t="s">
        <v>1014</v>
      </c>
      <c r="D490" s="779" t="s">
        <v>1015</v>
      </c>
      <c r="E490" s="353" t="s">
        <v>55</v>
      </c>
      <c r="F490" s="362">
        <f>'MEMORIAL DE CALCULO'!H2629</f>
        <v>20</v>
      </c>
      <c r="G490" s="1171"/>
      <c r="H490" s="270">
        <f t="shared" si="142"/>
        <v>0</v>
      </c>
      <c r="I490" s="874">
        <f t="shared" si="147"/>
        <v>0</v>
      </c>
      <c r="J490" s="874">
        <f t="shared" si="148"/>
        <v>0</v>
      </c>
      <c r="K490" s="32"/>
    </row>
    <row r="491" spans="1:11" ht="43.5" outlineLevel="2">
      <c r="A491" s="246">
        <v>91959</v>
      </c>
      <c r="B491" s="247" t="s">
        <v>26</v>
      </c>
      <c r="C491" s="246" t="s">
        <v>1016</v>
      </c>
      <c r="D491" s="779" t="s">
        <v>1017</v>
      </c>
      <c r="E491" s="353" t="s">
        <v>55</v>
      </c>
      <c r="F491" s="362">
        <f>'MEMORIAL DE CALCULO'!H2631</f>
        <v>18</v>
      </c>
      <c r="G491" s="1171"/>
      <c r="H491" s="270">
        <f t="shared" si="142"/>
        <v>0</v>
      </c>
      <c r="I491" s="874">
        <f t="shared" si="147"/>
        <v>0</v>
      </c>
      <c r="J491" s="874">
        <f t="shared" si="148"/>
        <v>0</v>
      </c>
      <c r="K491" s="32"/>
    </row>
    <row r="492" spans="1:11" ht="43.5" outlineLevel="2">
      <c r="A492" s="246">
        <v>91967</v>
      </c>
      <c r="B492" s="247" t="s">
        <v>26</v>
      </c>
      <c r="C492" s="246" t="s">
        <v>1018</v>
      </c>
      <c r="D492" s="779" t="s">
        <v>1019</v>
      </c>
      <c r="E492" s="353" t="s">
        <v>55</v>
      </c>
      <c r="F492" s="362">
        <f>'MEMORIAL DE CALCULO'!H2633</f>
        <v>6</v>
      </c>
      <c r="G492" s="1171"/>
      <c r="H492" s="270">
        <f t="shared" si="142"/>
        <v>0</v>
      </c>
      <c r="I492" s="874">
        <f t="shared" si="147"/>
        <v>0</v>
      </c>
      <c r="J492" s="874">
        <f t="shared" si="148"/>
        <v>0</v>
      </c>
      <c r="K492" s="32"/>
    </row>
    <row r="493" spans="1:11" ht="58.5" outlineLevel="2">
      <c r="A493" s="246">
        <v>92023</v>
      </c>
      <c r="B493" s="247" t="s">
        <v>26</v>
      </c>
      <c r="C493" s="246" t="s">
        <v>1020</v>
      </c>
      <c r="D493" s="779" t="s">
        <v>1021</v>
      </c>
      <c r="E493" s="353" t="s">
        <v>55</v>
      </c>
      <c r="F493" s="362">
        <f>'MEMORIAL DE CALCULO'!H2635</f>
        <v>6</v>
      </c>
      <c r="G493" s="1171"/>
      <c r="H493" s="270">
        <f t="shared" si="142"/>
        <v>0</v>
      </c>
      <c r="I493" s="874">
        <f t="shared" si="147"/>
        <v>0</v>
      </c>
      <c r="J493" s="874">
        <f t="shared" si="148"/>
        <v>0</v>
      </c>
      <c r="K493" s="32"/>
    </row>
    <row r="494" spans="1:11" ht="42.75" outlineLevel="2">
      <c r="A494" s="246" t="str">
        <f>'COMP. ELÉTRICA'!A314</f>
        <v>COMP/ELE - 27</v>
      </c>
      <c r="B494" s="247"/>
      <c r="C494" s="246" t="s">
        <v>1022</v>
      </c>
      <c r="D494" s="789" t="s">
        <v>1023</v>
      </c>
      <c r="E494" s="353" t="s">
        <v>55</v>
      </c>
      <c r="F494" s="362">
        <f>'MEMORIAL DE CALCULO'!H2637</f>
        <v>12</v>
      </c>
      <c r="G494" s="1171"/>
      <c r="H494" s="270">
        <f t="shared" si="142"/>
        <v>0</v>
      </c>
      <c r="I494" s="874">
        <f t="shared" si="147"/>
        <v>0</v>
      </c>
      <c r="J494" s="874">
        <f t="shared" si="148"/>
        <v>0</v>
      </c>
      <c r="K494" s="32"/>
    </row>
    <row r="495" spans="1:11" ht="36.75" customHeight="1" outlineLevel="2">
      <c r="A495" s="648">
        <v>711</v>
      </c>
      <c r="B495" s="649" t="s">
        <v>67</v>
      </c>
      <c r="C495" s="246" t="s">
        <v>1024</v>
      </c>
      <c r="D495" s="789" t="s">
        <v>935</v>
      </c>
      <c r="E495" s="775" t="s">
        <v>55</v>
      </c>
      <c r="F495" s="776">
        <f>'MEMORIAL DE CALCULO'!H2640</f>
        <v>10</v>
      </c>
      <c r="G495" s="1171"/>
      <c r="H495" s="270">
        <f t="shared" si="142"/>
        <v>0</v>
      </c>
      <c r="I495" s="540">
        <f>F495*G495</f>
        <v>0</v>
      </c>
      <c r="J495" s="540">
        <f>H495*F495</f>
        <v>0</v>
      </c>
      <c r="K495" s="539"/>
    </row>
    <row r="496" spans="1:11" ht="27.75" customHeight="1" outlineLevel="2">
      <c r="A496" s="648">
        <v>743</v>
      </c>
      <c r="B496" s="649" t="s">
        <v>67</v>
      </c>
      <c r="C496" s="246" t="s">
        <v>1025</v>
      </c>
      <c r="D496" s="789" t="s">
        <v>1026</v>
      </c>
      <c r="E496" s="775" t="s">
        <v>55</v>
      </c>
      <c r="F496" s="776">
        <f>'MEMORIAL DE CALCULO'!H2642</f>
        <v>20</v>
      </c>
      <c r="G496" s="1171"/>
      <c r="H496" s="270">
        <f t="shared" si="142"/>
        <v>0</v>
      </c>
      <c r="I496" s="540">
        <f>F496*G496</f>
        <v>0</v>
      </c>
      <c r="J496" s="540">
        <f>H496*F496</f>
        <v>0</v>
      </c>
      <c r="K496" s="539"/>
    </row>
    <row r="497" spans="1:11" ht="28.5" outlineLevel="2">
      <c r="A497" s="246">
        <v>91936</v>
      </c>
      <c r="B497" s="247" t="s">
        <v>26</v>
      </c>
      <c r="C497" s="246" t="s">
        <v>1027</v>
      </c>
      <c r="D497" s="774" t="s">
        <v>1028</v>
      </c>
      <c r="E497" s="775" t="s">
        <v>55</v>
      </c>
      <c r="F497" s="776">
        <f>'MEMORIAL DE CALCULO'!H2644</f>
        <v>30</v>
      </c>
      <c r="G497" s="1171"/>
      <c r="H497" s="270">
        <f t="shared" si="142"/>
        <v>0</v>
      </c>
      <c r="I497" s="874">
        <f t="shared" si="143"/>
        <v>0</v>
      </c>
      <c r="J497" s="874">
        <f t="shared" si="144"/>
        <v>0</v>
      </c>
      <c r="K497" s="32"/>
    </row>
    <row r="498" spans="1:11" ht="47.25" customHeight="1" outlineLevel="2">
      <c r="A498" s="246">
        <v>101875</v>
      </c>
      <c r="B498" s="247" t="s">
        <v>26</v>
      </c>
      <c r="C498" s="246" t="s">
        <v>1029</v>
      </c>
      <c r="D498" s="774" t="s">
        <v>1030</v>
      </c>
      <c r="E498" s="353" t="s">
        <v>55</v>
      </c>
      <c r="F498" s="362">
        <f>'MEMORIAL DE CALCULO'!H2646</f>
        <v>10</v>
      </c>
      <c r="G498" s="1171"/>
      <c r="H498" s="270">
        <f t="shared" si="142"/>
        <v>0</v>
      </c>
      <c r="I498" s="874">
        <f t="shared" si="143"/>
        <v>0</v>
      </c>
      <c r="J498" s="874">
        <f t="shared" si="144"/>
        <v>0</v>
      </c>
      <c r="K498" s="32"/>
    </row>
    <row r="499" spans="1:11" ht="28.5" outlineLevel="2">
      <c r="A499" s="246">
        <v>671</v>
      </c>
      <c r="B499" s="247" t="s">
        <v>67</v>
      </c>
      <c r="C499" s="246" t="s">
        <v>1031</v>
      </c>
      <c r="D499" s="774" t="s">
        <v>1032</v>
      </c>
      <c r="E499" s="353" t="s">
        <v>55</v>
      </c>
      <c r="F499" s="362">
        <f>'MEMORIAL DE CALCULO'!H2657</f>
        <v>120</v>
      </c>
      <c r="G499" s="1171"/>
      <c r="H499" s="270">
        <f t="shared" si="142"/>
        <v>0</v>
      </c>
      <c r="I499" s="874">
        <f t="shared" si="143"/>
        <v>0</v>
      </c>
      <c r="J499" s="874">
        <f t="shared" si="144"/>
        <v>0</v>
      </c>
      <c r="K499" s="32"/>
    </row>
    <row r="500" spans="1:11" ht="28.5" outlineLevel="2">
      <c r="A500" s="246">
        <v>743</v>
      </c>
      <c r="B500" s="247" t="s">
        <v>67</v>
      </c>
      <c r="C500" s="246" t="s">
        <v>1033</v>
      </c>
      <c r="D500" s="774" t="s">
        <v>1026</v>
      </c>
      <c r="E500" s="353" t="s">
        <v>55</v>
      </c>
      <c r="F500" s="362">
        <f>'MEMORIAL DE CALCULO'!H2659</f>
        <v>20</v>
      </c>
      <c r="G500" s="1171"/>
      <c r="H500" s="270">
        <f t="shared" si="142"/>
        <v>0</v>
      </c>
      <c r="I500" s="874">
        <f t="shared" si="143"/>
        <v>0</v>
      </c>
      <c r="J500" s="874">
        <f t="shared" si="144"/>
        <v>0</v>
      </c>
      <c r="K500" s="32"/>
    </row>
    <row r="501" spans="1:11" outlineLevel="2">
      <c r="A501" s="246">
        <v>9139</v>
      </c>
      <c r="B501" s="247" t="s">
        <v>67</v>
      </c>
      <c r="C501" s="246" t="s">
        <v>1034</v>
      </c>
      <c r="D501" s="774" t="s">
        <v>1035</v>
      </c>
      <c r="E501" s="353" t="s">
        <v>55</v>
      </c>
      <c r="F501" s="362">
        <f>'MEMORIAL DE CALCULO'!H2661</f>
        <v>4</v>
      </c>
      <c r="G501" s="1171"/>
      <c r="H501" s="270">
        <f t="shared" si="142"/>
        <v>0</v>
      </c>
      <c r="I501" s="874">
        <f t="shared" si="143"/>
        <v>0</v>
      </c>
      <c r="J501" s="874">
        <f t="shared" si="144"/>
        <v>0</v>
      </c>
      <c r="K501" s="32"/>
    </row>
    <row r="502" spans="1:11" outlineLevel="2">
      <c r="A502" s="246">
        <v>354</v>
      </c>
      <c r="B502" s="247" t="s">
        <v>67</v>
      </c>
      <c r="C502" s="246" t="s">
        <v>1036</v>
      </c>
      <c r="D502" s="774" t="s">
        <v>905</v>
      </c>
      <c r="E502" s="353" t="s">
        <v>246</v>
      </c>
      <c r="F502" s="362">
        <f>'MEMORIAL DE CALCULO'!H2663</f>
        <v>20</v>
      </c>
      <c r="G502" s="1171"/>
      <c r="H502" s="270">
        <f t="shared" si="142"/>
        <v>0</v>
      </c>
      <c r="I502" s="874">
        <f t="shared" si="143"/>
        <v>0</v>
      </c>
      <c r="J502" s="874">
        <f t="shared" si="144"/>
        <v>0</v>
      </c>
      <c r="K502" s="32"/>
    </row>
    <row r="503" spans="1:11" ht="42.75" outlineLevel="2">
      <c r="A503" s="246">
        <v>91907</v>
      </c>
      <c r="B503" s="247" t="s">
        <v>26</v>
      </c>
      <c r="C503" s="246" t="s">
        <v>1037</v>
      </c>
      <c r="D503" s="774" t="s">
        <v>1038</v>
      </c>
      <c r="E503" s="353" t="s">
        <v>55</v>
      </c>
      <c r="F503" s="362">
        <f>'MEMORIAL DE CALCULO'!H2665</f>
        <v>2</v>
      </c>
      <c r="G503" s="1171"/>
      <c r="H503" s="270">
        <f t="shared" si="142"/>
        <v>0</v>
      </c>
      <c r="I503" s="874">
        <f t="shared" si="143"/>
        <v>0</v>
      </c>
      <c r="J503" s="874">
        <f t="shared" si="144"/>
        <v>0</v>
      </c>
      <c r="K503" s="32"/>
    </row>
    <row r="504" spans="1:11" ht="42.75" outlineLevel="2">
      <c r="A504" s="246">
        <v>91885</v>
      </c>
      <c r="B504" s="247" t="s">
        <v>26</v>
      </c>
      <c r="C504" s="246" t="s">
        <v>1039</v>
      </c>
      <c r="D504" s="774" t="s">
        <v>1040</v>
      </c>
      <c r="E504" s="353" t="s">
        <v>55</v>
      </c>
      <c r="F504" s="362">
        <f>'MEMORIAL DE CALCULO'!H2667</f>
        <v>6</v>
      </c>
      <c r="G504" s="1171"/>
      <c r="H504" s="270">
        <f t="shared" si="142"/>
        <v>0</v>
      </c>
      <c r="I504" s="874">
        <f t="shared" si="143"/>
        <v>0</v>
      </c>
      <c r="J504" s="874">
        <f t="shared" si="144"/>
        <v>0</v>
      </c>
      <c r="K504" s="32"/>
    </row>
    <row r="505" spans="1:11" ht="42.75" outlineLevel="2">
      <c r="A505" s="246">
        <v>91917</v>
      </c>
      <c r="B505" s="247" t="s">
        <v>26</v>
      </c>
      <c r="C505" s="246" t="s">
        <v>1041</v>
      </c>
      <c r="D505" s="774" t="s">
        <v>1042</v>
      </c>
      <c r="E505" s="353" t="s">
        <v>55</v>
      </c>
      <c r="F505" s="362">
        <f>'MEMORIAL DE CALCULO'!H2669</f>
        <v>12</v>
      </c>
      <c r="G505" s="1171"/>
      <c r="H505" s="270">
        <f t="shared" si="142"/>
        <v>0</v>
      </c>
      <c r="I505" s="874">
        <f t="shared" si="143"/>
        <v>0</v>
      </c>
      <c r="J505" s="874">
        <f t="shared" si="144"/>
        <v>0</v>
      </c>
      <c r="K505" s="32"/>
    </row>
    <row r="506" spans="1:11" ht="42.75" outlineLevel="2">
      <c r="A506" s="246">
        <v>91856</v>
      </c>
      <c r="B506" s="247" t="s">
        <v>26</v>
      </c>
      <c r="C506" s="246" t="s">
        <v>1043</v>
      </c>
      <c r="D506" s="774" t="s">
        <v>1044</v>
      </c>
      <c r="E506" s="353" t="s">
        <v>246</v>
      </c>
      <c r="F506" s="362">
        <f>'MEMORIAL DE CALCULO'!H2671</f>
        <v>480.09599999999995</v>
      </c>
      <c r="G506" s="1171"/>
      <c r="H506" s="270">
        <f t="shared" si="142"/>
        <v>0</v>
      </c>
      <c r="I506" s="874">
        <f t="shared" si="143"/>
        <v>0</v>
      </c>
      <c r="J506" s="874">
        <f t="shared" si="144"/>
        <v>0</v>
      </c>
      <c r="K506" s="32"/>
    </row>
    <row r="507" spans="1:11" ht="42.75" outlineLevel="2">
      <c r="A507" s="246">
        <v>91846</v>
      </c>
      <c r="B507" s="247" t="s">
        <v>26</v>
      </c>
      <c r="C507" s="246" t="s">
        <v>1045</v>
      </c>
      <c r="D507" s="774" t="s">
        <v>1046</v>
      </c>
      <c r="E507" s="353" t="s">
        <v>246</v>
      </c>
      <c r="F507" s="362">
        <f>'MEMORIAL DE CALCULO'!H2673</f>
        <v>1449.6959999999999</v>
      </c>
      <c r="G507" s="1171"/>
      <c r="H507" s="270">
        <f t="shared" si="142"/>
        <v>0</v>
      </c>
      <c r="I507" s="874">
        <f t="shared" si="143"/>
        <v>0</v>
      </c>
      <c r="J507" s="874">
        <f t="shared" si="144"/>
        <v>0</v>
      </c>
      <c r="K507" s="32"/>
    </row>
    <row r="508" spans="1:11" ht="28.5" outlineLevel="2">
      <c r="A508" s="246">
        <v>93653</v>
      </c>
      <c r="B508" s="247" t="s">
        <v>26</v>
      </c>
      <c r="C508" s="246" t="s">
        <v>1047</v>
      </c>
      <c r="D508" s="774" t="s">
        <v>1048</v>
      </c>
      <c r="E508" s="353" t="s">
        <v>55</v>
      </c>
      <c r="F508" s="362">
        <f>'MEMORIAL DE CALCULO'!H2675</f>
        <v>6</v>
      </c>
      <c r="G508" s="1171"/>
      <c r="H508" s="270">
        <f t="shared" si="142"/>
        <v>0</v>
      </c>
      <c r="I508" s="874">
        <f t="shared" si="143"/>
        <v>0</v>
      </c>
      <c r="J508" s="874">
        <f t="shared" si="144"/>
        <v>0</v>
      </c>
      <c r="K508" s="32"/>
    </row>
    <row r="509" spans="1:11" ht="28.5" outlineLevel="2">
      <c r="A509" s="246">
        <v>93654</v>
      </c>
      <c r="B509" s="247" t="s">
        <v>26</v>
      </c>
      <c r="C509" s="246" t="s">
        <v>1049</v>
      </c>
      <c r="D509" s="774" t="s">
        <v>940</v>
      </c>
      <c r="E509" s="353" t="s">
        <v>55</v>
      </c>
      <c r="F509" s="362">
        <f>'MEMORIAL DE CALCULO'!H2681</f>
        <v>3</v>
      </c>
      <c r="G509" s="1171"/>
      <c r="H509" s="270">
        <f t="shared" si="142"/>
        <v>0</v>
      </c>
      <c r="I509" s="874">
        <f t="shared" si="143"/>
        <v>0</v>
      </c>
      <c r="J509" s="874">
        <f t="shared" si="144"/>
        <v>0</v>
      </c>
      <c r="K509" s="32"/>
    </row>
    <row r="510" spans="1:11" ht="28.5" outlineLevel="2">
      <c r="A510" s="246">
        <v>93656</v>
      </c>
      <c r="B510" s="247" t="s">
        <v>26</v>
      </c>
      <c r="C510" s="246" t="s">
        <v>1050</v>
      </c>
      <c r="D510" s="774" t="s">
        <v>879</v>
      </c>
      <c r="E510" s="353" t="s">
        <v>55</v>
      </c>
      <c r="F510" s="362">
        <f>'MEMORIAL DE CALCULO'!H2688</f>
        <v>1</v>
      </c>
      <c r="G510" s="1171"/>
      <c r="H510" s="270">
        <f t="shared" si="142"/>
        <v>0</v>
      </c>
      <c r="I510" s="874">
        <f t="shared" si="143"/>
        <v>0</v>
      </c>
      <c r="J510" s="874">
        <f t="shared" si="144"/>
        <v>0</v>
      </c>
      <c r="K510" s="32"/>
    </row>
    <row r="511" spans="1:11" ht="28.5" outlineLevel="2">
      <c r="A511" s="246">
        <v>93670</v>
      </c>
      <c r="B511" s="247" t="s">
        <v>26</v>
      </c>
      <c r="C511" s="246" t="s">
        <v>1051</v>
      </c>
      <c r="D511" s="774" t="s">
        <v>881</v>
      </c>
      <c r="E511" s="353" t="s">
        <v>55</v>
      </c>
      <c r="F511" s="362">
        <f>'MEMORIAL DE CALCULO'!H2693</f>
        <v>4</v>
      </c>
      <c r="G511" s="1171"/>
      <c r="H511" s="270">
        <f t="shared" si="142"/>
        <v>0</v>
      </c>
      <c r="I511" s="874">
        <f t="shared" ref="I511" si="149">F511*G511</f>
        <v>0</v>
      </c>
      <c r="J511" s="874">
        <f t="shared" ref="J511" si="150">H511*F511</f>
        <v>0</v>
      </c>
      <c r="K511" s="32"/>
    </row>
    <row r="512" spans="1:11" ht="42.75" outlineLevel="2">
      <c r="A512" s="246">
        <v>91930</v>
      </c>
      <c r="B512" s="247" t="s">
        <v>26</v>
      </c>
      <c r="C512" s="246" t="s">
        <v>1052</v>
      </c>
      <c r="D512" s="774" t="s">
        <v>1053</v>
      </c>
      <c r="E512" s="353" t="s">
        <v>246</v>
      </c>
      <c r="F512" s="362">
        <f>'MEMORIAL DE CALCULO'!H2695</f>
        <v>147.41999999999999</v>
      </c>
      <c r="G512" s="1171"/>
      <c r="H512" s="270">
        <f t="shared" si="142"/>
        <v>0</v>
      </c>
      <c r="I512" s="874">
        <f t="shared" si="143"/>
        <v>0</v>
      </c>
      <c r="J512" s="874">
        <f t="shared" si="144"/>
        <v>0</v>
      </c>
      <c r="K512" s="32"/>
    </row>
    <row r="513" spans="1:11" ht="42.75" outlineLevel="2">
      <c r="A513" s="246">
        <v>91924</v>
      </c>
      <c r="B513" s="247" t="s">
        <v>26</v>
      </c>
      <c r="C513" s="246" t="s">
        <v>1054</v>
      </c>
      <c r="D513" s="774" t="s">
        <v>1055</v>
      </c>
      <c r="E513" s="353" t="s">
        <v>246</v>
      </c>
      <c r="F513" s="362">
        <f>'MEMORIAL DE CALCULO'!H2697</f>
        <v>3075.0239999999999</v>
      </c>
      <c r="G513" s="1171"/>
      <c r="H513" s="270">
        <f t="shared" si="142"/>
        <v>0</v>
      </c>
      <c r="I513" s="874">
        <f t="shared" si="143"/>
        <v>0</v>
      </c>
      <c r="J513" s="874">
        <f t="shared" si="144"/>
        <v>0</v>
      </c>
      <c r="K513" s="32"/>
    </row>
    <row r="514" spans="1:11" ht="42.75" outlineLevel="2">
      <c r="A514" s="246">
        <v>91926</v>
      </c>
      <c r="B514" s="247" t="s">
        <v>26</v>
      </c>
      <c r="C514" s="246" t="s">
        <v>1056</v>
      </c>
      <c r="D514" s="774" t="s">
        <v>946</v>
      </c>
      <c r="E514" s="353" t="s">
        <v>246</v>
      </c>
      <c r="F514" s="362">
        <f>'MEMORIAL DE CALCULO'!H2699</f>
        <v>6266.7839999999997</v>
      </c>
      <c r="G514" s="1171"/>
      <c r="H514" s="270">
        <f t="shared" si="142"/>
        <v>0</v>
      </c>
      <c r="I514" s="874">
        <f t="shared" si="143"/>
        <v>0</v>
      </c>
      <c r="J514" s="874">
        <f t="shared" si="144"/>
        <v>0</v>
      </c>
      <c r="K514" s="32"/>
    </row>
    <row r="515" spans="1:11" ht="42.75" outlineLevel="2">
      <c r="A515" s="246">
        <v>91928</v>
      </c>
      <c r="B515" s="247" t="s">
        <v>26</v>
      </c>
      <c r="C515" s="246" t="s">
        <v>1057</v>
      </c>
      <c r="D515" s="774" t="s">
        <v>1058</v>
      </c>
      <c r="E515" s="353" t="s">
        <v>246</v>
      </c>
      <c r="F515" s="362">
        <f>'MEMORIAL DE CALCULO'!H2702</f>
        <v>82.44</v>
      </c>
      <c r="G515" s="1171"/>
      <c r="H515" s="270">
        <f t="shared" si="142"/>
        <v>0</v>
      </c>
      <c r="I515" s="874">
        <f t="shared" si="143"/>
        <v>0</v>
      </c>
      <c r="J515" s="874">
        <f t="shared" si="144"/>
        <v>0</v>
      </c>
      <c r="K515" s="32"/>
    </row>
    <row r="516" spans="1:11" ht="22.9" customHeight="1" outlineLevel="2">
      <c r="A516" s="246">
        <v>3811</v>
      </c>
      <c r="B516" s="247" t="s">
        <v>67</v>
      </c>
      <c r="C516" s="246" t="s">
        <v>1059</v>
      </c>
      <c r="D516" s="774" t="s">
        <v>1060</v>
      </c>
      <c r="E516" s="353" t="s">
        <v>246</v>
      </c>
      <c r="F516" s="362">
        <f>'MEMORIAL DE CALCULO'!H2704</f>
        <v>14.399999999999999</v>
      </c>
      <c r="G516" s="1171"/>
      <c r="H516" s="270">
        <f t="shared" si="142"/>
        <v>0</v>
      </c>
      <c r="I516" s="874">
        <f t="shared" si="143"/>
        <v>0</v>
      </c>
      <c r="J516" s="874">
        <f t="shared" si="144"/>
        <v>0</v>
      </c>
      <c r="K516" s="32"/>
    </row>
    <row r="517" spans="1:11" ht="57" outlineLevel="2">
      <c r="A517" s="246">
        <v>12022</v>
      </c>
      <c r="B517" s="247" t="s">
        <v>67</v>
      </c>
      <c r="C517" s="246" t="s">
        <v>1061</v>
      </c>
      <c r="D517" s="783" t="s">
        <v>1062</v>
      </c>
      <c r="E517" s="355" t="s">
        <v>55</v>
      </c>
      <c r="F517" s="760">
        <f>'MEMORIAL DE CALCULO'!H2706</f>
        <v>86</v>
      </c>
      <c r="G517" s="1171"/>
      <c r="H517" s="270">
        <f t="shared" si="142"/>
        <v>0</v>
      </c>
      <c r="I517" s="874">
        <f t="shared" ref="I517:I519" si="151">F517*G517</f>
        <v>0</v>
      </c>
      <c r="J517" s="874">
        <f t="shared" ref="J517:J519" si="152">H517*F517</f>
        <v>0</v>
      </c>
      <c r="K517" s="319"/>
    </row>
    <row r="518" spans="1:11" ht="53.25" customHeight="1" outlineLevel="2">
      <c r="A518" s="246">
        <v>12021</v>
      </c>
      <c r="B518" s="247" t="s">
        <v>67</v>
      </c>
      <c r="C518" s="246" t="s">
        <v>1063</v>
      </c>
      <c r="D518" s="783" t="s">
        <v>1064</v>
      </c>
      <c r="E518" s="355" t="s">
        <v>55</v>
      </c>
      <c r="F518" s="760">
        <f>'MEMORIAL DE CALCULO'!H2708</f>
        <v>70</v>
      </c>
      <c r="G518" s="1171"/>
      <c r="H518" s="270">
        <f t="shared" si="142"/>
        <v>0</v>
      </c>
      <c r="I518" s="874">
        <f t="shared" si="151"/>
        <v>0</v>
      </c>
      <c r="J518" s="874">
        <f t="shared" si="152"/>
        <v>0</v>
      </c>
      <c r="K518" s="319"/>
    </row>
    <row r="519" spans="1:11" ht="31.5" customHeight="1" outlineLevel="2">
      <c r="A519" s="246">
        <v>11148</v>
      </c>
      <c r="B519" s="247" t="s">
        <v>67</v>
      </c>
      <c r="C519" s="246" t="s">
        <v>1065</v>
      </c>
      <c r="D519" s="783" t="s">
        <v>1066</v>
      </c>
      <c r="E519" s="355" t="s">
        <v>55</v>
      </c>
      <c r="F519" s="760">
        <f>'MEMORIAL DE CALCULO'!H2710</f>
        <v>2</v>
      </c>
      <c r="G519" s="1171"/>
      <c r="H519" s="270">
        <f t="shared" si="142"/>
        <v>0</v>
      </c>
      <c r="I519" s="874">
        <f t="shared" si="151"/>
        <v>0</v>
      </c>
      <c r="J519" s="874">
        <f t="shared" si="152"/>
        <v>0</v>
      </c>
      <c r="K519" s="319"/>
    </row>
    <row r="520" spans="1:11" ht="18" customHeight="1" outlineLevel="1">
      <c r="A520" s="251"/>
      <c r="B520" s="249"/>
      <c r="C520" s="249" t="s">
        <v>1067</v>
      </c>
      <c r="D520" s="785" t="s">
        <v>1068</v>
      </c>
      <c r="E520" s="788"/>
      <c r="F520" s="786"/>
      <c r="G520" s="787"/>
      <c r="H520" s="31"/>
      <c r="I520" s="250">
        <f>SUM(I521:I527)</f>
        <v>0</v>
      </c>
      <c r="J520" s="250">
        <f>SUM(J521:J527)</f>
        <v>0</v>
      </c>
      <c r="K520" s="32" t="e">
        <f>J520/$J$685</f>
        <v>#DIV/0!</v>
      </c>
    </row>
    <row r="521" spans="1:11" ht="28.5" outlineLevel="2">
      <c r="A521" s="246">
        <v>97607</v>
      </c>
      <c r="B521" s="247" t="s">
        <v>26</v>
      </c>
      <c r="C521" s="247" t="s">
        <v>1069</v>
      </c>
      <c r="D521" s="784" t="s">
        <v>1070</v>
      </c>
      <c r="E521" s="567" t="s">
        <v>55</v>
      </c>
      <c r="F521" s="739">
        <f>'MEMORIAL DE CALCULO'!H2715</f>
        <v>18</v>
      </c>
      <c r="G521" s="1171"/>
      <c r="H521" s="270">
        <f t="shared" si="142"/>
        <v>0</v>
      </c>
      <c r="I521" s="874">
        <f t="shared" ref="I521:I527" si="153">F521*G521</f>
        <v>0</v>
      </c>
      <c r="J521" s="874">
        <f t="shared" ref="J521:J527" si="154">H521*F521</f>
        <v>0</v>
      </c>
      <c r="K521" s="562"/>
    </row>
    <row r="522" spans="1:11" ht="28.5" outlineLevel="2">
      <c r="A522" s="246">
        <v>13159</v>
      </c>
      <c r="B522" s="247" t="s">
        <v>67</v>
      </c>
      <c r="C522" s="247" t="s">
        <v>1071</v>
      </c>
      <c r="D522" s="774" t="s">
        <v>1072</v>
      </c>
      <c r="E522" s="353" t="s">
        <v>55</v>
      </c>
      <c r="F522" s="362">
        <f>'MEMORIAL DE CALCULO'!H2717</f>
        <v>20</v>
      </c>
      <c r="G522" s="1171"/>
      <c r="H522" s="270">
        <f t="shared" si="142"/>
        <v>0</v>
      </c>
      <c r="I522" s="874">
        <f t="shared" si="153"/>
        <v>0</v>
      </c>
      <c r="J522" s="874">
        <f t="shared" si="154"/>
        <v>0</v>
      </c>
      <c r="K522" s="32"/>
    </row>
    <row r="523" spans="1:11" ht="43.5" customHeight="1" outlineLevel="2">
      <c r="A523" s="246">
        <v>12870</v>
      </c>
      <c r="B523" s="247" t="s">
        <v>67</v>
      </c>
      <c r="C523" s="247" t="s">
        <v>1073</v>
      </c>
      <c r="D523" s="774" t="s">
        <v>1074</v>
      </c>
      <c r="E523" s="353" t="s">
        <v>55</v>
      </c>
      <c r="F523" s="362">
        <f>'MEMORIAL DE CALCULO'!H2719</f>
        <v>8</v>
      </c>
      <c r="G523" s="1171"/>
      <c r="H523" s="270">
        <f t="shared" si="142"/>
        <v>0</v>
      </c>
      <c r="I523" s="874">
        <f t="shared" si="153"/>
        <v>0</v>
      </c>
      <c r="J523" s="874">
        <f t="shared" si="154"/>
        <v>0</v>
      </c>
      <c r="K523" s="32"/>
    </row>
    <row r="524" spans="1:11" ht="28.5" outlineLevel="2">
      <c r="A524" s="246">
        <v>805</v>
      </c>
      <c r="B524" s="247" t="s">
        <v>67</v>
      </c>
      <c r="C524" s="247" t="s">
        <v>1075</v>
      </c>
      <c r="D524" s="774" t="s">
        <v>1076</v>
      </c>
      <c r="E524" s="353" t="s">
        <v>55</v>
      </c>
      <c r="F524" s="362">
        <f>'MEMORIAL DE CALCULO'!H2722</f>
        <v>2</v>
      </c>
      <c r="G524" s="1171"/>
      <c r="H524" s="270">
        <f t="shared" si="142"/>
        <v>0</v>
      </c>
      <c r="I524" s="874">
        <f t="shared" si="153"/>
        <v>0</v>
      </c>
      <c r="J524" s="874">
        <f t="shared" si="154"/>
        <v>0</v>
      </c>
      <c r="K524" s="32"/>
    </row>
    <row r="525" spans="1:11" ht="57" outlineLevel="2">
      <c r="A525" s="246">
        <v>8927</v>
      </c>
      <c r="B525" s="247" t="s">
        <v>67</v>
      </c>
      <c r="C525" s="247" t="s">
        <v>1077</v>
      </c>
      <c r="D525" s="774" t="s">
        <v>1078</v>
      </c>
      <c r="E525" s="353" t="s">
        <v>55</v>
      </c>
      <c r="F525" s="362">
        <f>'MEMORIAL DE CALCULO'!H2724</f>
        <v>4</v>
      </c>
      <c r="G525" s="1171"/>
      <c r="H525" s="270">
        <f t="shared" si="142"/>
        <v>0</v>
      </c>
      <c r="I525" s="874">
        <f t="shared" si="153"/>
        <v>0</v>
      </c>
      <c r="J525" s="874">
        <f t="shared" si="154"/>
        <v>0</v>
      </c>
      <c r="K525" s="32"/>
    </row>
    <row r="526" spans="1:11" ht="28.5" outlineLevel="2">
      <c r="A526" s="246">
        <v>8896</v>
      </c>
      <c r="B526" s="247" t="s">
        <v>67</v>
      </c>
      <c r="C526" s="247" t="s">
        <v>1079</v>
      </c>
      <c r="D526" s="774" t="s">
        <v>1080</v>
      </c>
      <c r="E526" s="353" t="s">
        <v>55</v>
      </c>
      <c r="F526" s="362">
        <f>'MEMORIAL DE CALCULO'!H2726</f>
        <v>10</v>
      </c>
      <c r="G526" s="1171"/>
      <c r="H526" s="270">
        <f t="shared" si="142"/>
        <v>0</v>
      </c>
      <c r="I526" s="874">
        <f t="shared" si="153"/>
        <v>0</v>
      </c>
      <c r="J526" s="874">
        <f t="shared" si="154"/>
        <v>0</v>
      </c>
      <c r="K526" s="32"/>
    </row>
    <row r="527" spans="1:11" ht="33.75" customHeight="1" outlineLevel="2">
      <c r="A527" s="246">
        <v>4404</v>
      </c>
      <c r="B527" s="247" t="s">
        <v>67</v>
      </c>
      <c r="C527" s="247" t="s">
        <v>1081</v>
      </c>
      <c r="D527" s="774" t="s">
        <v>1082</v>
      </c>
      <c r="E527" s="353" t="s">
        <v>55</v>
      </c>
      <c r="F527" s="362">
        <f>'MEMORIAL DE CALCULO'!H2728</f>
        <v>8</v>
      </c>
      <c r="G527" s="1171"/>
      <c r="H527" s="270">
        <f t="shared" si="142"/>
        <v>0</v>
      </c>
      <c r="I527" s="874">
        <f t="shared" si="153"/>
        <v>0</v>
      </c>
      <c r="J527" s="874">
        <f t="shared" si="154"/>
        <v>0</v>
      </c>
      <c r="K527" s="32"/>
    </row>
    <row r="528" spans="1:11" ht="18" customHeight="1" outlineLevel="1">
      <c r="A528" s="251" t="s">
        <v>1083</v>
      </c>
      <c r="B528" s="251"/>
      <c r="C528" s="251" t="s">
        <v>1084</v>
      </c>
      <c r="D528" s="785" t="s">
        <v>1085</v>
      </c>
      <c r="E528" s="983"/>
      <c r="F528" s="786"/>
      <c r="G528" s="787"/>
      <c r="H528" s="31"/>
      <c r="I528" s="250">
        <f>SUM(I529:I576)</f>
        <v>0</v>
      </c>
      <c r="J528" s="250">
        <f>SUM(J529:J576)</f>
        <v>0</v>
      </c>
      <c r="K528" s="32" t="e">
        <f>J528/$J$685</f>
        <v>#DIV/0!</v>
      </c>
    </row>
    <row r="529" spans="1:12" ht="42.75" outlineLevel="2">
      <c r="A529" s="246">
        <v>8362</v>
      </c>
      <c r="B529" s="247" t="s">
        <v>67</v>
      </c>
      <c r="C529" s="247" t="s">
        <v>1086</v>
      </c>
      <c r="D529" s="784" t="s">
        <v>1087</v>
      </c>
      <c r="E529" s="567" t="s">
        <v>55</v>
      </c>
      <c r="F529" s="739">
        <f>'MEMORIAL DE CALCULO'!H2732</f>
        <v>16</v>
      </c>
      <c r="G529" s="1171"/>
      <c r="H529" s="270">
        <f t="shared" si="142"/>
        <v>0</v>
      </c>
      <c r="I529" s="874">
        <f t="shared" ref="I529:I576" si="155">F529*G529</f>
        <v>0</v>
      </c>
      <c r="J529" s="874">
        <f t="shared" ref="J529:J576" si="156">H529*F529</f>
        <v>0</v>
      </c>
      <c r="K529" s="562"/>
    </row>
    <row r="530" spans="1:12" ht="28.5" outlineLevel="2">
      <c r="A530" s="246">
        <v>11417</v>
      </c>
      <c r="B530" s="247" t="s">
        <v>67</v>
      </c>
      <c r="C530" s="247" t="s">
        <v>1088</v>
      </c>
      <c r="D530" s="774" t="s">
        <v>1089</v>
      </c>
      <c r="E530" s="353" t="s">
        <v>55</v>
      </c>
      <c r="F530" s="362">
        <f>'MEMORIAL DE CALCULO'!H2734</f>
        <v>4</v>
      </c>
      <c r="G530" s="1171"/>
      <c r="H530" s="270">
        <f t="shared" si="142"/>
        <v>0</v>
      </c>
      <c r="I530" s="874">
        <f t="shared" si="155"/>
        <v>0</v>
      </c>
      <c r="J530" s="874">
        <f t="shared" si="156"/>
        <v>0</v>
      </c>
      <c r="K530" s="32"/>
    </row>
    <row r="531" spans="1:12" ht="31.15" customHeight="1" outlineLevel="2">
      <c r="A531" s="246">
        <v>10268</v>
      </c>
      <c r="B531" s="247" t="s">
        <v>67</v>
      </c>
      <c r="C531" s="247" t="s">
        <v>1090</v>
      </c>
      <c r="D531" s="774" t="s">
        <v>1091</v>
      </c>
      <c r="E531" s="353" t="s">
        <v>55</v>
      </c>
      <c r="F531" s="362">
        <f>'MEMORIAL DE CALCULO'!H2736</f>
        <v>100</v>
      </c>
      <c r="G531" s="1171"/>
      <c r="H531" s="270">
        <f t="shared" si="142"/>
        <v>0</v>
      </c>
      <c r="I531" s="874">
        <f t="shared" si="155"/>
        <v>0</v>
      </c>
      <c r="J531" s="874">
        <f t="shared" si="156"/>
        <v>0</v>
      </c>
      <c r="K531" s="32"/>
    </row>
    <row r="532" spans="1:12" ht="28.5" outlineLevel="2">
      <c r="A532" s="246">
        <v>11242</v>
      </c>
      <c r="B532" s="247" t="s">
        <v>67</v>
      </c>
      <c r="C532" s="247" t="s">
        <v>1092</v>
      </c>
      <c r="D532" s="774" t="s">
        <v>1093</v>
      </c>
      <c r="E532" s="353" t="s">
        <v>55</v>
      </c>
      <c r="F532" s="362">
        <f>'MEMORIAL DE CALCULO'!H2738</f>
        <v>100</v>
      </c>
      <c r="G532" s="1171"/>
      <c r="H532" s="270">
        <f t="shared" si="142"/>
        <v>0</v>
      </c>
      <c r="I532" s="874">
        <f t="shared" si="155"/>
        <v>0</v>
      </c>
      <c r="J532" s="874">
        <f t="shared" si="156"/>
        <v>0</v>
      </c>
      <c r="K532" s="32"/>
    </row>
    <row r="533" spans="1:12" ht="38.25" customHeight="1" outlineLevel="2">
      <c r="A533" s="246">
        <v>706</v>
      </c>
      <c r="B533" s="247" t="s">
        <v>67</v>
      </c>
      <c r="C533" s="247" t="s">
        <v>1094</v>
      </c>
      <c r="D533" s="774" t="s">
        <v>1095</v>
      </c>
      <c r="E533" s="353" t="s">
        <v>246</v>
      </c>
      <c r="F533" s="362">
        <f>'MEMORIAL DE CALCULO'!H2740</f>
        <v>7</v>
      </c>
      <c r="G533" s="1171"/>
      <c r="H533" s="270">
        <f t="shared" si="142"/>
        <v>0</v>
      </c>
      <c r="I533" s="874">
        <f t="shared" si="155"/>
        <v>0</v>
      </c>
      <c r="J533" s="874">
        <f t="shared" si="156"/>
        <v>0</v>
      </c>
      <c r="K533" s="32"/>
    </row>
    <row r="534" spans="1:12" ht="28.15" customHeight="1" outlineLevel="2">
      <c r="A534" s="246" t="s">
        <v>1096</v>
      </c>
      <c r="B534" s="247" t="s">
        <v>67</v>
      </c>
      <c r="C534" s="247" t="s">
        <v>1097</v>
      </c>
      <c r="D534" s="774" t="s">
        <v>1098</v>
      </c>
      <c r="E534" s="353" t="s">
        <v>40</v>
      </c>
      <c r="F534" s="362">
        <f>'MEMORIAL DE CALCULO'!H2742</f>
        <v>160</v>
      </c>
      <c r="G534" s="1171"/>
      <c r="H534" s="270">
        <f t="shared" ref="H534:H597" si="157">G534*$I$5</f>
        <v>0</v>
      </c>
      <c r="I534" s="874">
        <f t="shared" si="155"/>
        <v>0</v>
      </c>
      <c r="J534" s="874">
        <f t="shared" si="156"/>
        <v>0</v>
      </c>
      <c r="K534" s="32"/>
    </row>
    <row r="535" spans="1:12" ht="33" customHeight="1" outlineLevel="2">
      <c r="A535" s="246">
        <v>10592</v>
      </c>
      <c r="B535" s="247" t="s">
        <v>67</v>
      </c>
      <c r="C535" s="247" t="s">
        <v>1099</v>
      </c>
      <c r="D535" s="774" t="s">
        <v>1100</v>
      </c>
      <c r="E535" s="353" t="s">
        <v>40</v>
      </c>
      <c r="F535" s="362">
        <f>'MEMORIAL DE CALCULO'!H2744</f>
        <v>160</v>
      </c>
      <c r="G535" s="1171"/>
      <c r="H535" s="270">
        <f t="shared" si="157"/>
        <v>0</v>
      </c>
      <c r="I535" s="874">
        <f t="shared" si="155"/>
        <v>0</v>
      </c>
      <c r="J535" s="874">
        <f t="shared" si="156"/>
        <v>0</v>
      </c>
      <c r="K535" s="32"/>
    </row>
    <row r="536" spans="1:12" ht="19.5" customHeight="1" outlineLevel="2">
      <c r="A536" s="253">
        <v>88264</v>
      </c>
      <c r="B536" s="254" t="s">
        <v>26</v>
      </c>
      <c r="C536" s="247" t="s">
        <v>1101</v>
      </c>
      <c r="D536" s="774" t="s">
        <v>1102</v>
      </c>
      <c r="E536" s="353" t="s">
        <v>40</v>
      </c>
      <c r="F536" s="362">
        <f>'MEMORIAL DE CALCULO'!H2746</f>
        <v>160</v>
      </c>
      <c r="G536" s="1171"/>
      <c r="H536" s="270">
        <f t="shared" si="157"/>
        <v>0</v>
      </c>
      <c r="I536" s="874">
        <f t="shared" si="155"/>
        <v>0</v>
      </c>
      <c r="J536" s="874">
        <f t="shared" si="156"/>
        <v>0</v>
      </c>
      <c r="K536" s="32"/>
    </row>
    <row r="537" spans="1:12" ht="32.25" customHeight="1" outlineLevel="2">
      <c r="A537" s="257">
        <v>10793</v>
      </c>
      <c r="B537" s="258" t="s">
        <v>67</v>
      </c>
      <c r="C537" s="247" t="s">
        <v>1103</v>
      </c>
      <c r="D537" s="774" t="s">
        <v>1104</v>
      </c>
      <c r="E537" s="353" t="s">
        <v>55</v>
      </c>
      <c r="F537" s="362">
        <f>'MEMORIAL DE CALCULO'!H2748</f>
        <v>25</v>
      </c>
      <c r="G537" s="1171"/>
      <c r="H537" s="270">
        <f t="shared" si="157"/>
        <v>0</v>
      </c>
      <c r="I537" s="874">
        <f t="shared" si="155"/>
        <v>0</v>
      </c>
      <c r="J537" s="874">
        <f t="shared" si="156"/>
        <v>0</v>
      </c>
      <c r="K537" s="32"/>
    </row>
    <row r="538" spans="1:12" ht="32.25" customHeight="1" outlineLevel="2">
      <c r="A538" s="246">
        <v>743</v>
      </c>
      <c r="B538" s="247" t="s">
        <v>67</v>
      </c>
      <c r="C538" s="247" t="s">
        <v>1105</v>
      </c>
      <c r="D538" s="774" t="s">
        <v>1026</v>
      </c>
      <c r="E538" s="353" t="s">
        <v>55</v>
      </c>
      <c r="F538" s="362">
        <f>'MEMORIAL DE CALCULO'!H2750</f>
        <v>17</v>
      </c>
      <c r="G538" s="1171"/>
      <c r="H538" s="270">
        <f t="shared" si="157"/>
        <v>0</v>
      </c>
      <c r="I538" s="874">
        <f t="shared" si="155"/>
        <v>0</v>
      </c>
      <c r="J538" s="874">
        <f t="shared" si="156"/>
        <v>0</v>
      </c>
      <c r="K538" s="32"/>
    </row>
    <row r="539" spans="1:12" ht="28.5" outlineLevel="2">
      <c r="A539" s="246">
        <v>91936</v>
      </c>
      <c r="B539" s="247" t="s">
        <v>26</v>
      </c>
      <c r="C539" s="247" t="s">
        <v>1106</v>
      </c>
      <c r="D539" s="774" t="s">
        <v>1028</v>
      </c>
      <c r="E539" s="353" t="s">
        <v>55</v>
      </c>
      <c r="F539" s="362">
        <f>'MEMORIAL DE CALCULO'!H2752</f>
        <v>1</v>
      </c>
      <c r="G539" s="1171"/>
      <c r="H539" s="270">
        <f t="shared" si="157"/>
        <v>0</v>
      </c>
      <c r="I539" s="874">
        <f t="shared" si="155"/>
        <v>0</v>
      </c>
      <c r="J539" s="874">
        <f t="shared" si="156"/>
        <v>0</v>
      </c>
      <c r="K539" s="32"/>
    </row>
    <row r="540" spans="1:12" outlineLevel="2">
      <c r="A540" s="246">
        <v>3811</v>
      </c>
      <c r="B540" s="247" t="s">
        <v>67</v>
      </c>
      <c r="C540" s="247" t="s">
        <v>1107</v>
      </c>
      <c r="D540" s="774" t="s">
        <v>1060</v>
      </c>
      <c r="E540" s="353" t="s">
        <v>55</v>
      </c>
      <c r="F540" s="362">
        <f>'MEMORIAL DE CALCULO'!H2754</f>
        <v>27</v>
      </c>
      <c r="G540" s="1171"/>
      <c r="H540" s="270">
        <f t="shared" si="157"/>
        <v>0</v>
      </c>
      <c r="I540" s="874">
        <f t="shared" si="155"/>
        <v>0</v>
      </c>
      <c r="J540" s="874">
        <f t="shared" si="156"/>
        <v>0</v>
      </c>
      <c r="K540" s="32"/>
    </row>
    <row r="541" spans="1:12" ht="28.5" outlineLevel="2">
      <c r="A541" s="246">
        <v>7817</v>
      </c>
      <c r="B541" s="247" t="s">
        <v>67</v>
      </c>
      <c r="C541" s="247" t="s">
        <v>1108</v>
      </c>
      <c r="D541" s="774" t="s">
        <v>1109</v>
      </c>
      <c r="E541" s="353" t="s">
        <v>55</v>
      </c>
      <c r="F541" s="362">
        <f>'MEMORIAL DE CALCULO'!H2756</f>
        <v>194</v>
      </c>
      <c r="G541" s="1171"/>
      <c r="H541" s="270">
        <f t="shared" si="157"/>
        <v>0</v>
      </c>
      <c r="I541" s="874">
        <f t="shared" si="155"/>
        <v>0</v>
      </c>
      <c r="J541" s="874">
        <f t="shared" si="156"/>
        <v>0</v>
      </c>
      <c r="K541" s="32"/>
    </row>
    <row r="542" spans="1:12" ht="28.5" outlineLevel="2">
      <c r="A542" s="246">
        <v>794</v>
      </c>
      <c r="B542" s="247" t="s">
        <v>67</v>
      </c>
      <c r="C542" s="247" t="s">
        <v>1110</v>
      </c>
      <c r="D542" s="774" t="s">
        <v>1111</v>
      </c>
      <c r="E542" s="353" t="s">
        <v>55</v>
      </c>
      <c r="F542" s="362">
        <f>'MEMORIAL DE CALCULO'!H2758</f>
        <v>12</v>
      </c>
      <c r="G542" s="1171"/>
      <c r="H542" s="270">
        <f t="shared" si="157"/>
        <v>0</v>
      </c>
      <c r="I542" s="874">
        <f t="shared" si="155"/>
        <v>0</v>
      </c>
      <c r="J542" s="874">
        <f t="shared" si="156"/>
        <v>0</v>
      </c>
      <c r="K542" s="32"/>
    </row>
    <row r="543" spans="1:12" ht="18" customHeight="1" outlineLevel="2">
      <c r="A543" s="246">
        <v>7792</v>
      </c>
      <c r="B543" s="247" t="s">
        <v>67</v>
      </c>
      <c r="C543" s="247" t="s">
        <v>1112</v>
      </c>
      <c r="D543" s="774" t="s">
        <v>1113</v>
      </c>
      <c r="E543" s="353" t="s">
        <v>55</v>
      </c>
      <c r="F543" s="362">
        <f>'MEMORIAL DE CALCULO'!H2760</f>
        <v>26</v>
      </c>
      <c r="G543" s="1171"/>
      <c r="H543" s="270">
        <f t="shared" si="157"/>
        <v>0</v>
      </c>
      <c r="I543" s="874">
        <f t="shared" si="155"/>
        <v>0</v>
      </c>
      <c r="J543" s="874">
        <f t="shared" si="156"/>
        <v>0</v>
      </c>
      <c r="K543" s="32"/>
      <c r="L543" s="920"/>
    </row>
    <row r="544" spans="1:12" ht="39.75" customHeight="1" outlineLevel="2">
      <c r="A544" s="246" t="s">
        <v>2717</v>
      </c>
      <c r="B544" s="247" t="s">
        <v>67</v>
      </c>
      <c r="C544" s="247" t="s">
        <v>1114</v>
      </c>
      <c r="D544" s="774" t="s">
        <v>2716</v>
      </c>
      <c r="E544" s="353" t="s">
        <v>55</v>
      </c>
      <c r="F544" s="362">
        <f>'MEMORIAL DE CALCULO'!H2762</f>
        <v>232</v>
      </c>
      <c r="G544" s="1171"/>
      <c r="H544" s="270">
        <f t="shared" si="157"/>
        <v>0</v>
      </c>
      <c r="I544" s="874">
        <f t="shared" ref="I544" si="158">F544*G544</f>
        <v>0</v>
      </c>
      <c r="J544" s="874">
        <f t="shared" ref="J544" si="159">H544*F544</f>
        <v>0</v>
      </c>
      <c r="K544" s="32"/>
    </row>
    <row r="545" spans="1:11" ht="23.45" customHeight="1" outlineLevel="2">
      <c r="A545" s="246">
        <v>12984</v>
      </c>
      <c r="B545" s="247" t="s">
        <v>67</v>
      </c>
      <c r="C545" s="247" t="s">
        <v>1116</v>
      </c>
      <c r="D545" s="794" t="s">
        <v>1115</v>
      </c>
      <c r="E545" s="353" t="s">
        <v>55</v>
      </c>
      <c r="F545" s="362">
        <f>'MEMORIAL DE CALCULO'!H2764</f>
        <v>2</v>
      </c>
      <c r="G545" s="1171"/>
      <c r="H545" s="270">
        <f t="shared" si="157"/>
        <v>0</v>
      </c>
      <c r="I545" s="874">
        <f t="shared" si="155"/>
        <v>0</v>
      </c>
      <c r="J545" s="874">
        <f t="shared" si="156"/>
        <v>0</v>
      </c>
      <c r="K545" s="32"/>
    </row>
    <row r="546" spans="1:11" ht="24" customHeight="1" outlineLevel="2">
      <c r="A546" s="246">
        <v>8998</v>
      </c>
      <c r="B546" s="247" t="s">
        <v>67</v>
      </c>
      <c r="C546" s="247" t="s">
        <v>1117</v>
      </c>
      <c r="D546" s="774" t="s">
        <v>937</v>
      </c>
      <c r="E546" s="353" t="s">
        <v>55</v>
      </c>
      <c r="F546" s="362">
        <f>'MEMORIAL DE CALCULO'!H2766</f>
        <v>2</v>
      </c>
      <c r="G546" s="1171"/>
      <c r="H546" s="270">
        <f t="shared" si="157"/>
        <v>0</v>
      </c>
      <c r="I546" s="874">
        <f t="shared" si="155"/>
        <v>0</v>
      </c>
      <c r="J546" s="874">
        <f t="shared" si="156"/>
        <v>0</v>
      </c>
      <c r="K546" s="32"/>
    </row>
    <row r="547" spans="1:11" ht="42.75" outlineLevel="2">
      <c r="A547" s="246">
        <v>91872</v>
      </c>
      <c r="B547" s="247" t="s">
        <v>26</v>
      </c>
      <c r="C547" s="247" t="s">
        <v>1119</v>
      </c>
      <c r="D547" s="774" t="s">
        <v>1118</v>
      </c>
      <c r="E547" s="353" t="s">
        <v>246</v>
      </c>
      <c r="F547" s="362">
        <f>'MEMORIAL DE CALCULO'!H2768</f>
        <v>302.29199999999997</v>
      </c>
      <c r="G547" s="1171"/>
      <c r="H547" s="270">
        <f t="shared" si="157"/>
        <v>0</v>
      </c>
      <c r="I547" s="874">
        <f t="shared" si="155"/>
        <v>0</v>
      </c>
      <c r="J547" s="874">
        <f t="shared" si="156"/>
        <v>0</v>
      </c>
      <c r="K547" s="32"/>
    </row>
    <row r="548" spans="1:11" ht="42.75" outlineLevel="2">
      <c r="A548" s="246">
        <v>91917</v>
      </c>
      <c r="B548" s="247" t="s">
        <v>26</v>
      </c>
      <c r="C548" s="247" t="s">
        <v>1120</v>
      </c>
      <c r="D548" s="774" t="s">
        <v>1042</v>
      </c>
      <c r="E548" s="353" t="s">
        <v>55</v>
      </c>
      <c r="F548" s="362">
        <f>'MEMORIAL DE CALCULO'!H2771</f>
        <v>20</v>
      </c>
      <c r="G548" s="1171"/>
      <c r="H548" s="270">
        <f t="shared" si="157"/>
        <v>0</v>
      </c>
      <c r="I548" s="874">
        <f t="shared" si="155"/>
        <v>0</v>
      </c>
      <c r="J548" s="874">
        <f t="shared" si="156"/>
        <v>0</v>
      </c>
      <c r="K548" s="32"/>
    </row>
    <row r="549" spans="1:11" ht="42.75" outlineLevel="2">
      <c r="A549" s="246">
        <v>91885</v>
      </c>
      <c r="B549" s="247" t="s">
        <v>26</v>
      </c>
      <c r="C549" s="247" t="s">
        <v>1121</v>
      </c>
      <c r="D549" s="774" t="s">
        <v>1040</v>
      </c>
      <c r="E549" s="353" t="s">
        <v>55</v>
      </c>
      <c r="F549" s="362">
        <f>'MEMORIAL DE CALCULO'!H2773</f>
        <v>20</v>
      </c>
      <c r="G549" s="1171"/>
      <c r="H549" s="270">
        <f t="shared" si="157"/>
        <v>0</v>
      </c>
      <c r="I549" s="874">
        <f t="shared" si="155"/>
        <v>0</v>
      </c>
      <c r="J549" s="874">
        <f t="shared" si="156"/>
        <v>0</v>
      </c>
      <c r="K549" s="32"/>
    </row>
    <row r="550" spans="1:11" ht="42" customHeight="1" outlineLevel="2">
      <c r="A550" s="257">
        <v>344</v>
      </c>
      <c r="B550" s="247" t="s">
        <v>67</v>
      </c>
      <c r="C550" s="247" t="s">
        <v>1123</v>
      </c>
      <c r="D550" s="774" t="s">
        <v>1122</v>
      </c>
      <c r="E550" s="353" t="s">
        <v>55</v>
      </c>
      <c r="F550" s="362">
        <f>'MEMORIAL DE CALCULO'!H2775</f>
        <v>10</v>
      </c>
      <c r="G550" s="1171"/>
      <c r="H550" s="270">
        <f t="shared" si="157"/>
        <v>0</v>
      </c>
      <c r="I550" s="874">
        <f t="shared" si="155"/>
        <v>0</v>
      </c>
      <c r="J550" s="874">
        <f t="shared" si="156"/>
        <v>0</v>
      </c>
      <c r="K550" s="32"/>
    </row>
    <row r="551" spans="1:11" ht="42.75" outlineLevel="2">
      <c r="A551" s="246">
        <v>91873</v>
      </c>
      <c r="B551" s="247" t="s">
        <v>26</v>
      </c>
      <c r="C551" s="247" t="s">
        <v>1125</v>
      </c>
      <c r="D551" s="774" t="s">
        <v>1124</v>
      </c>
      <c r="E551" s="353" t="s">
        <v>246</v>
      </c>
      <c r="F551" s="362">
        <f>'MEMORIAL DE CALCULO'!H2777</f>
        <v>36</v>
      </c>
      <c r="G551" s="1171"/>
      <c r="H551" s="270">
        <f t="shared" si="157"/>
        <v>0</v>
      </c>
      <c r="I551" s="874">
        <f t="shared" si="155"/>
        <v>0</v>
      </c>
      <c r="J551" s="874">
        <f t="shared" si="156"/>
        <v>0</v>
      </c>
      <c r="K551" s="32"/>
    </row>
    <row r="552" spans="1:11" ht="28.5" outlineLevel="2">
      <c r="A552" s="246">
        <v>364</v>
      </c>
      <c r="B552" s="247" t="s">
        <v>67</v>
      </c>
      <c r="C552" s="247" t="s">
        <v>1127</v>
      </c>
      <c r="D552" s="774" t="s">
        <v>1126</v>
      </c>
      <c r="E552" s="353" t="s">
        <v>55</v>
      </c>
      <c r="F552" s="362">
        <f>'MEMORIAL DE CALCULO'!H2779</f>
        <v>5</v>
      </c>
      <c r="G552" s="1171"/>
      <c r="H552" s="270">
        <f t="shared" si="157"/>
        <v>0</v>
      </c>
      <c r="I552" s="874">
        <f t="shared" si="155"/>
        <v>0</v>
      </c>
      <c r="J552" s="874">
        <f t="shared" si="156"/>
        <v>0</v>
      </c>
      <c r="K552" s="32"/>
    </row>
    <row r="553" spans="1:11" ht="30.75" customHeight="1" outlineLevel="2">
      <c r="A553" s="246">
        <v>373</v>
      </c>
      <c r="B553" s="247" t="s">
        <v>67</v>
      </c>
      <c r="C553" s="247" t="s">
        <v>1129</v>
      </c>
      <c r="D553" s="774" t="s">
        <v>1128</v>
      </c>
      <c r="E553" s="353" t="s">
        <v>55</v>
      </c>
      <c r="F553" s="362">
        <f>'MEMORIAL DE CALCULO'!H2781</f>
        <v>4</v>
      </c>
      <c r="G553" s="1171"/>
      <c r="H553" s="270">
        <f t="shared" si="157"/>
        <v>0</v>
      </c>
      <c r="I553" s="874">
        <f t="shared" si="155"/>
        <v>0</v>
      </c>
      <c r="J553" s="874">
        <f t="shared" si="156"/>
        <v>0</v>
      </c>
      <c r="K553" s="32"/>
    </row>
    <row r="554" spans="1:11" ht="30.75" customHeight="1" outlineLevel="2">
      <c r="A554" s="257">
        <v>9925</v>
      </c>
      <c r="B554" s="247" t="s">
        <v>67</v>
      </c>
      <c r="C554" s="247" t="s">
        <v>1131</v>
      </c>
      <c r="D554" s="774" t="s">
        <v>1130</v>
      </c>
      <c r="E554" s="353" t="s">
        <v>55</v>
      </c>
      <c r="F554" s="362">
        <f>'MEMORIAL DE CALCULO'!H2783</f>
        <v>20</v>
      </c>
      <c r="G554" s="1171"/>
      <c r="H554" s="270">
        <f t="shared" si="157"/>
        <v>0</v>
      </c>
      <c r="I554" s="874">
        <f t="shared" si="155"/>
        <v>0</v>
      </c>
      <c r="J554" s="874">
        <f t="shared" si="156"/>
        <v>0</v>
      </c>
      <c r="K554" s="32"/>
    </row>
    <row r="555" spans="1:11" ht="42.75" outlineLevel="2">
      <c r="A555" s="246">
        <v>91834</v>
      </c>
      <c r="B555" s="247" t="s">
        <v>26</v>
      </c>
      <c r="C555" s="247" t="s">
        <v>1134</v>
      </c>
      <c r="D555" s="774" t="s">
        <v>1132</v>
      </c>
      <c r="E555" s="353" t="s">
        <v>246</v>
      </c>
      <c r="F555" s="362">
        <f>'MEMORIAL DE CALCULO'!H2785</f>
        <v>453.59999999999997</v>
      </c>
      <c r="G555" s="1171"/>
      <c r="H555" s="270">
        <f t="shared" si="157"/>
        <v>0</v>
      </c>
      <c r="I555" s="874">
        <f t="shared" si="155"/>
        <v>0</v>
      </c>
      <c r="J555" s="874">
        <f t="shared" si="156"/>
        <v>0</v>
      </c>
      <c r="K555" s="32"/>
    </row>
    <row r="556" spans="1:11" ht="28.5" outlineLevel="2">
      <c r="A556" s="246" t="s">
        <v>1133</v>
      </c>
      <c r="B556" s="247" t="s">
        <v>26</v>
      </c>
      <c r="C556" s="247" t="s">
        <v>1136</v>
      </c>
      <c r="D556" s="774" t="s">
        <v>1135</v>
      </c>
      <c r="E556" s="353" t="s">
        <v>55</v>
      </c>
      <c r="F556" s="362">
        <f>'MEMORIAL DE CALCULO'!H2787</f>
        <v>3</v>
      </c>
      <c r="G556" s="1171"/>
      <c r="H556" s="270">
        <f t="shared" si="157"/>
        <v>0</v>
      </c>
      <c r="I556" s="874">
        <f t="shared" si="155"/>
        <v>0</v>
      </c>
      <c r="J556" s="874">
        <f t="shared" si="156"/>
        <v>0</v>
      </c>
      <c r="K556" s="32"/>
    </row>
    <row r="557" spans="1:11" ht="28.5" outlineLevel="2">
      <c r="A557" s="246">
        <v>764</v>
      </c>
      <c r="B557" s="247" t="s">
        <v>67</v>
      </c>
      <c r="C557" s="247" t="s">
        <v>1138</v>
      </c>
      <c r="D557" s="774" t="s">
        <v>1137</v>
      </c>
      <c r="E557" s="353" t="s">
        <v>246</v>
      </c>
      <c r="F557" s="362">
        <f>'MEMORIAL DE CALCULO'!H2789</f>
        <v>130.88999999999999</v>
      </c>
      <c r="G557" s="1171"/>
      <c r="H557" s="270">
        <f t="shared" si="157"/>
        <v>0</v>
      </c>
      <c r="I557" s="874">
        <f t="shared" si="155"/>
        <v>0</v>
      </c>
      <c r="J557" s="874">
        <f t="shared" si="156"/>
        <v>0</v>
      </c>
      <c r="K557" s="32"/>
    </row>
    <row r="558" spans="1:11" ht="28.5" outlineLevel="2">
      <c r="A558" s="246">
        <v>9521</v>
      </c>
      <c r="B558" s="247" t="s">
        <v>67</v>
      </c>
      <c r="C558" s="247" t="s">
        <v>1140</v>
      </c>
      <c r="D558" s="774" t="s">
        <v>1139</v>
      </c>
      <c r="E558" s="353" t="s">
        <v>55</v>
      </c>
      <c r="F558" s="362">
        <f>'MEMORIAL DE CALCULO'!H2791</f>
        <v>6</v>
      </c>
      <c r="G558" s="1171"/>
      <c r="H558" s="270">
        <f t="shared" si="157"/>
        <v>0</v>
      </c>
      <c r="I558" s="874">
        <f t="shared" si="155"/>
        <v>0</v>
      </c>
      <c r="J558" s="874">
        <f t="shared" si="156"/>
        <v>0</v>
      </c>
      <c r="K558" s="32"/>
    </row>
    <row r="559" spans="1:11" ht="28.5" outlineLevel="2">
      <c r="A559" s="246">
        <v>9520</v>
      </c>
      <c r="B559" s="247" t="s">
        <v>67</v>
      </c>
      <c r="C559" s="247" t="s">
        <v>1142</v>
      </c>
      <c r="D559" s="774" t="s">
        <v>1141</v>
      </c>
      <c r="E559" s="353" t="s">
        <v>55</v>
      </c>
      <c r="F559" s="362">
        <f>'MEMORIAL DE CALCULO'!H2793</f>
        <v>2</v>
      </c>
      <c r="G559" s="1171"/>
      <c r="H559" s="270">
        <f t="shared" si="157"/>
        <v>0</v>
      </c>
      <c r="I559" s="874">
        <f t="shared" si="155"/>
        <v>0</v>
      </c>
      <c r="J559" s="874">
        <f t="shared" si="156"/>
        <v>0</v>
      </c>
      <c r="K559" s="32"/>
    </row>
    <row r="560" spans="1:11" ht="28.5" outlineLevel="2">
      <c r="A560" s="246">
        <v>8782</v>
      </c>
      <c r="B560" s="247" t="s">
        <v>67</v>
      </c>
      <c r="C560" s="247" t="s">
        <v>1144</v>
      </c>
      <c r="D560" s="774" t="s">
        <v>1143</v>
      </c>
      <c r="E560" s="353" t="s">
        <v>55</v>
      </c>
      <c r="F560" s="362">
        <f>'MEMORIAL DE CALCULO'!H2795</f>
        <v>4</v>
      </c>
      <c r="G560" s="1171"/>
      <c r="H560" s="270">
        <f t="shared" si="157"/>
        <v>0</v>
      </c>
      <c r="I560" s="874">
        <f t="shared" si="155"/>
        <v>0</v>
      </c>
      <c r="J560" s="874">
        <f t="shared" si="156"/>
        <v>0</v>
      </c>
      <c r="K560" s="32"/>
    </row>
    <row r="561" spans="1:11" ht="28.5" outlineLevel="2">
      <c r="A561" s="246">
        <v>8222</v>
      </c>
      <c r="B561" s="247" t="s">
        <v>67</v>
      </c>
      <c r="C561" s="247" t="s">
        <v>1146</v>
      </c>
      <c r="D561" s="795" t="s">
        <v>1145</v>
      </c>
      <c r="E561" s="353" t="s">
        <v>55</v>
      </c>
      <c r="F561" s="362">
        <f>'MEMORIAL DE CALCULO'!H2797</f>
        <v>3</v>
      </c>
      <c r="G561" s="1171"/>
      <c r="H561" s="270">
        <f t="shared" si="157"/>
        <v>0</v>
      </c>
      <c r="I561" s="874">
        <f t="shared" si="155"/>
        <v>0</v>
      </c>
      <c r="J561" s="874">
        <f t="shared" si="156"/>
        <v>0</v>
      </c>
      <c r="K561" s="32"/>
    </row>
    <row r="562" spans="1:11" ht="28.5" outlineLevel="2">
      <c r="A562" s="257">
        <v>8783</v>
      </c>
      <c r="B562" s="258" t="s">
        <v>67</v>
      </c>
      <c r="C562" s="247" t="s">
        <v>1148</v>
      </c>
      <c r="D562" s="774" t="s">
        <v>1147</v>
      </c>
      <c r="E562" s="353" t="s">
        <v>55</v>
      </c>
      <c r="F562" s="362">
        <f>'MEMORIAL DE CALCULO'!H2799</f>
        <v>8</v>
      </c>
      <c r="G562" s="1171"/>
      <c r="H562" s="270">
        <f t="shared" si="157"/>
        <v>0</v>
      </c>
      <c r="I562" s="874">
        <f t="shared" si="155"/>
        <v>0</v>
      </c>
      <c r="J562" s="874">
        <f t="shared" si="156"/>
        <v>0</v>
      </c>
      <c r="K562" s="32"/>
    </row>
    <row r="563" spans="1:11" ht="28.5" outlineLevel="2">
      <c r="A563" s="246">
        <v>7820</v>
      </c>
      <c r="B563" s="247" t="s">
        <v>67</v>
      </c>
      <c r="C563" s="247" t="s">
        <v>1150</v>
      </c>
      <c r="D563" s="774" t="s">
        <v>1149</v>
      </c>
      <c r="E563" s="353" t="s">
        <v>55</v>
      </c>
      <c r="F563" s="362">
        <f>'MEMORIAL DE CALCULO'!H2801</f>
        <v>32</v>
      </c>
      <c r="G563" s="1171"/>
      <c r="H563" s="270">
        <f t="shared" si="157"/>
        <v>0</v>
      </c>
      <c r="I563" s="874">
        <f t="shared" si="155"/>
        <v>0</v>
      </c>
      <c r="J563" s="874">
        <f t="shared" si="156"/>
        <v>0</v>
      </c>
      <c r="K563" s="32"/>
    </row>
    <row r="564" spans="1:11" ht="28.5" outlineLevel="2">
      <c r="A564" s="257">
        <v>9669</v>
      </c>
      <c r="B564" s="247" t="s">
        <v>67</v>
      </c>
      <c r="C564" s="247" t="s">
        <v>1151</v>
      </c>
      <c r="D564" s="774" t="s">
        <v>685</v>
      </c>
      <c r="E564" s="353" t="s">
        <v>55</v>
      </c>
      <c r="F564" s="362">
        <f>'MEMORIAL DE CALCULO'!H2803</f>
        <v>6</v>
      </c>
      <c r="G564" s="1171"/>
      <c r="H564" s="270">
        <f t="shared" si="157"/>
        <v>0</v>
      </c>
      <c r="I564" s="874">
        <f t="shared" si="155"/>
        <v>0</v>
      </c>
      <c r="J564" s="874">
        <f t="shared" si="156"/>
        <v>0</v>
      </c>
      <c r="K564" s="32"/>
    </row>
    <row r="565" spans="1:11" ht="28.5" outlineLevel="2">
      <c r="A565" s="246">
        <v>9525</v>
      </c>
      <c r="B565" s="246" t="s">
        <v>67</v>
      </c>
      <c r="C565" s="247" t="s">
        <v>1153</v>
      </c>
      <c r="D565" s="774" t="s">
        <v>1152</v>
      </c>
      <c r="E565" s="353" t="s">
        <v>55</v>
      </c>
      <c r="F565" s="362">
        <f>'MEMORIAL DE CALCULO'!H2805</f>
        <v>18</v>
      </c>
      <c r="G565" s="1171"/>
      <c r="H565" s="270">
        <f t="shared" si="157"/>
        <v>0</v>
      </c>
      <c r="I565" s="270">
        <f t="shared" si="155"/>
        <v>0</v>
      </c>
      <c r="J565" s="270">
        <f t="shared" si="156"/>
        <v>0</v>
      </c>
      <c r="K565" s="32"/>
    </row>
    <row r="566" spans="1:11" ht="25.9" customHeight="1" outlineLevel="2">
      <c r="A566" s="246">
        <v>12498</v>
      </c>
      <c r="B566" s="247" t="s">
        <v>67</v>
      </c>
      <c r="C566" s="247" t="s">
        <v>1154</v>
      </c>
      <c r="D566" s="774" t="s">
        <v>689</v>
      </c>
      <c r="E566" s="353" t="s">
        <v>55</v>
      </c>
      <c r="F566" s="362">
        <f>'MEMORIAL DE CALCULO'!H2807</f>
        <v>12</v>
      </c>
      <c r="G566" s="1171"/>
      <c r="H566" s="270">
        <f t="shared" si="157"/>
        <v>0</v>
      </c>
      <c r="I566" s="874">
        <f t="shared" si="155"/>
        <v>0</v>
      </c>
      <c r="J566" s="874">
        <f t="shared" si="156"/>
        <v>0</v>
      </c>
      <c r="K566" s="32"/>
    </row>
    <row r="567" spans="1:11" outlineLevel="2">
      <c r="A567" s="246">
        <v>4190</v>
      </c>
      <c r="B567" s="247" t="s">
        <v>67</v>
      </c>
      <c r="C567" s="247" t="s">
        <v>1155</v>
      </c>
      <c r="D567" s="774" t="s">
        <v>691</v>
      </c>
      <c r="E567" s="353" t="s">
        <v>55</v>
      </c>
      <c r="F567" s="362">
        <f>'MEMORIAL DE CALCULO'!H2809</f>
        <v>60</v>
      </c>
      <c r="G567" s="1171"/>
      <c r="H567" s="270">
        <f t="shared" si="157"/>
        <v>0</v>
      </c>
      <c r="I567" s="874">
        <f t="shared" si="155"/>
        <v>0</v>
      </c>
      <c r="J567" s="874">
        <f t="shared" si="156"/>
        <v>0</v>
      </c>
      <c r="K567" s="32"/>
    </row>
    <row r="568" spans="1:11" ht="28.5" outlineLevel="2">
      <c r="A568" s="257">
        <v>721</v>
      </c>
      <c r="B568" s="247" t="s">
        <v>67</v>
      </c>
      <c r="C568" s="247" t="s">
        <v>1157</v>
      </c>
      <c r="D568" s="774" t="s">
        <v>1156</v>
      </c>
      <c r="E568" s="353" t="s">
        <v>55</v>
      </c>
      <c r="F568" s="362">
        <f>'MEMORIAL DE CALCULO'!H2811</f>
        <v>60</v>
      </c>
      <c r="G568" s="1171"/>
      <c r="H568" s="270">
        <f t="shared" si="157"/>
        <v>0</v>
      </c>
      <c r="I568" s="874">
        <f t="shared" si="155"/>
        <v>0</v>
      </c>
      <c r="J568" s="874">
        <f t="shared" si="156"/>
        <v>0</v>
      </c>
      <c r="K568" s="32"/>
    </row>
    <row r="569" spans="1:11" ht="20.45" customHeight="1" outlineLevel="2">
      <c r="A569" s="246">
        <v>12506</v>
      </c>
      <c r="B569" s="247" t="s">
        <v>67</v>
      </c>
      <c r="C569" s="247" t="s">
        <v>1159</v>
      </c>
      <c r="D569" s="774" t="s">
        <v>1158</v>
      </c>
      <c r="E569" s="353" t="s">
        <v>55</v>
      </c>
      <c r="F569" s="362">
        <f>'MEMORIAL DE CALCULO'!H2813</f>
        <v>120</v>
      </c>
      <c r="G569" s="1171"/>
      <c r="H569" s="270">
        <f t="shared" si="157"/>
        <v>0</v>
      </c>
      <c r="I569" s="874">
        <f t="shared" si="155"/>
        <v>0</v>
      </c>
      <c r="J569" s="874">
        <f t="shared" si="156"/>
        <v>0</v>
      </c>
      <c r="K569" s="32"/>
    </row>
    <row r="570" spans="1:11" ht="25.5" customHeight="1" outlineLevel="2">
      <c r="A570" s="246">
        <v>12494</v>
      </c>
      <c r="B570" s="247" t="s">
        <v>67</v>
      </c>
      <c r="C570" s="247" t="s">
        <v>1161</v>
      </c>
      <c r="D570" s="774" t="s">
        <v>1160</v>
      </c>
      <c r="E570" s="353" t="s">
        <v>55</v>
      </c>
      <c r="F570" s="362">
        <f>'MEMORIAL DE CALCULO'!H2815</f>
        <v>170</v>
      </c>
      <c r="G570" s="1171"/>
      <c r="H570" s="270">
        <f t="shared" si="157"/>
        <v>0</v>
      </c>
      <c r="I570" s="874">
        <f t="shared" si="155"/>
        <v>0</v>
      </c>
      <c r="J570" s="874">
        <f t="shared" si="156"/>
        <v>0</v>
      </c>
      <c r="K570" s="32"/>
    </row>
    <row r="571" spans="1:11" ht="23.45" customHeight="1" outlineLevel="2">
      <c r="A571" s="246">
        <v>9816</v>
      </c>
      <c r="B571" s="247" t="s">
        <v>67</v>
      </c>
      <c r="C571" s="247" t="s">
        <v>1163</v>
      </c>
      <c r="D571" s="774" t="s">
        <v>1162</v>
      </c>
      <c r="E571" s="353" t="s">
        <v>55</v>
      </c>
      <c r="F571" s="362">
        <f>'MEMORIAL DE CALCULO'!H2817</f>
        <v>320</v>
      </c>
      <c r="G571" s="1171"/>
      <c r="H571" s="270">
        <f t="shared" si="157"/>
        <v>0</v>
      </c>
      <c r="I571" s="874">
        <f t="shared" si="155"/>
        <v>0</v>
      </c>
      <c r="J571" s="874">
        <f t="shared" si="156"/>
        <v>0</v>
      </c>
      <c r="K571" s="32"/>
    </row>
    <row r="572" spans="1:11" ht="28.5" outlineLevel="2">
      <c r="A572" s="246">
        <v>9832</v>
      </c>
      <c r="B572" s="247" t="s">
        <v>67</v>
      </c>
      <c r="C572" s="247" t="s">
        <v>1165</v>
      </c>
      <c r="D572" s="774" t="s">
        <v>1164</v>
      </c>
      <c r="E572" s="353" t="s">
        <v>55</v>
      </c>
      <c r="F572" s="362">
        <f>'MEMORIAL DE CALCULO'!H2819</f>
        <v>320</v>
      </c>
      <c r="G572" s="1171"/>
      <c r="H572" s="270">
        <f t="shared" si="157"/>
        <v>0</v>
      </c>
      <c r="I572" s="874">
        <f t="shared" si="155"/>
        <v>0</v>
      </c>
      <c r="J572" s="874">
        <f t="shared" si="156"/>
        <v>0</v>
      </c>
      <c r="K572" s="32"/>
    </row>
    <row r="573" spans="1:11" ht="24" customHeight="1" outlineLevel="2">
      <c r="A573" s="246">
        <v>7138</v>
      </c>
      <c r="B573" s="247" t="s">
        <v>67</v>
      </c>
      <c r="C573" s="247" t="s">
        <v>1167</v>
      </c>
      <c r="D573" s="774" t="s">
        <v>1166</v>
      </c>
      <c r="E573" s="353" t="s">
        <v>246</v>
      </c>
      <c r="F573" s="362">
        <f>'MEMORIAL DE CALCULO'!H2821</f>
        <v>7533.0959999999995</v>
      </c>
      <c r="G573" s="1171"/>
      <c r="H573" s="270">
        <f t="shared" si="157"/>
        <v>0</v>
      </c>
      <c r="I573" s="874">
        <f t="shared" si="155"/>
        <v>0</v>
      </c>
      <c r="J573" s="874">
        <f t="shared" si="156"/>
        <v>0</v>
      </c>
      <c r="K573" s="32"/>
    </row>
    <row r="574" spans="1:11" ht="20.45" customHeight="1" outlineLevel="2">
      <c r="A574" s="246">
        <v>9277</v>
      </c>
      <c r="B574" s="247" t="s">
        <v>67</v>
      </c>
      <c r="C574" s="247" t="s">
        <v>1168</v>
      </c>
      <c r="D574" s="774" t="s">
        <v>797</v>
      </c>
      <c r="E574" s="353" t="s">
        <v>246</v>
      </c>
      <c r="F574" s="362">
        <f>'MEMORIAL DE CALCULO'!H2823</f>
        <v>20</v>
      </c>
      <c r="G574" s="1171"/>
      <c r="H574" s="270">
        <f t="shared" si="157"/>
        <v>0</v>
      </c>
      <c r="I574" s="874">
        <f t="shared" si="155"/>
        <v>0</v>
      </c>
      <c r="J574" s="874">
        <f t="shared" si="156"/>
        <v>0</v>
      </c>
      <c r="K574" s="32"/>
    </row>
    <row r="575" spans="1:11" ht="28.5" outlineLevel="2">
      <c r="A575" s="246">
        <v>4000</v>
      </c>
      <c r="B575" s="247" t="s">
        <v>67</v>
      </c>
      <c r="C575" s="247" t="s">
        <v>1169</v>
      </c>
      <c r="D575" s="774" t="s">
        <v>799</v>
      </c>
      <c r="E575" s="353" t="s">
        <v>55</v>
      </c>
      <c r="F575" s="362">
        <f>'MEMORIAL DE CALCULO'!H2823</f>
        <v>20</v>
      </c>
      <c r="G575" s="1171"/>
      <c r="H575" s="270">
        <f t="shared" si="157"/>
        <v>0</v>
      </c>
      <c r="I575" s="874">
        <f t="shared" si="155"/>
        <v>0</v>
      </c>
      <c r="J575" s="874">
        <f t="shared" si="156"/>
        <v>0</v>
      </c>
      <c r="K575" s="32"/>
    </row>
    <row r="576" spans="1:11" ht="44.25" customHeight="1" outlineLevel="2">
      <c r="A576" s="246">
        <v>3770</v>
      </c>
      <c r="B576" s="247" t="s">
        <v>67</v>
      </c>
      <c r="C576" s="247" t="s">
        <v>2718</v>
      </c>
      <c r="D576" s="783" t="s">
        <v>1170</v>
      </c>
      <c r="E576" s="355" t="s">
        <v>246</v>
      </c>
      <c r="F576" s="760">
        <f>'MEMORIAL DE CALCULO'!H2827</f>
        <v>32.4</v>
      </c>
      <c r="G576" s="1171"/>
      <c r="H576" s="270">
        <f t="shared" si="157"/>
        <v>0</v>
      </c>
      <c r="I576" s="874">
        <f t="shared" si="155"/>
        <v>0</v>
      </c>
      <c r="J576" s="874">
        <f t="shared" si="156"/>
        <v>0</v>
      </c>
      <c r="K576" s="319"/>
    </row>
    <row r="577" spans="1:14" ht="18" customHeight="1" outlineLevel="1">
      <c r="A577" s="251"/>
      <c r="B577" s="249"/>
      <c r="C577" s="262" t="s">
        <v>1171</v>
      </c>
      <c r="D577" s="790" t="s">
        <v>1172</v>
      </c>
      <c r="E577" s="983"/>
      <c r="F577" s="786"/>
      <c r="G577" s="787"/>
      <c r="H577" s="31"/>
      <c r="I577" s="250">
        <f>SUM(I578:I607)</f>
        <v>0</v>
      </c>
      <c r="J577" s="250">
        <f>SUM(J578:J607)</f>
        <v>0</v>
      </c>
      <c r="K577" s="32" t="e">
        <f>J577/$J$685</f>
        <v>#DIV/0!</v>
      </c>
    </row>
    <row r="578" spans="1:14" ht="32.25" customHeight="1" outlineLevel="2">
      <c r="A578" s="246" t="s">
        <v>1173</v>
      </c>
      <c r="B578" s="247" t="s">
        <v>67</v>
      </c>
      <c r="C578" s="247" t="s">
        <v>1174</v>
      </c>
      <c r="D578" s="789" t="s">
        <v>1175</v>
      </c>
      <c r="E578" s="567" t="s">
        <v>40</v>
      </c>
      <c r="F578" s="739">
        <f>'MEMORIAL DE CALCULO'!H2832</f>
        <v>160</v>
      </c>
      <c r="G578" s="1171"/>
      <c r="H578" s="270">
        <f t="shared" si="157"/>
        <v>0</v>
      </c>
      <c r="I578" s="874">
        <f t="shared" ref="I578:I607" si="160">F578*G578</f>
        <v>0</v>
      </c>
      <c r="J578" s="874">
        <f t="shared" ref="J578:J607" si="161">H578*F578</f>
        <v>0</v>
      </c>
      <c r="K578" s="566"/>
    </row>
    <row r="579" spans="1:14" ht="42.75" outlineLevel="2">
      <c r="A579" s="246">
        <v>8362</v>
      </c>
      <c r="B579" s="247" t="s">
        <v>67</v>
      </c>
      <c r="C579" s="247" t="s">
        <v>1176</v>
      </c>
      <c r="D579" s="774" t="s">
        <v>1087</v>
      </c>
      <c r="E579" s="353" t="s">
        <v>55</v>
      </c>
      <c r="F579" s="362">
        <f>'MEMORIAL DE CALCULO'!H2835</f>
        <v>5</v>
      </c>
      <c r="G579" s="1171"/>
      <c r="H579" s="270">
        <f t="shared" si="157"/>
        <v>0</v>
      </c>
      <c r="I579" s="874">
        <f t="shared" si="160"/>
        <v>0</v>
      </c>
      <c r="J579" s="874">
        <f t="shared" si="161"/>
        <v>0</v>
      </c>
      <c r="K579" s="244"/>
    </row>
    <row r="580" spans="1:14" ht="30" customHeight="1" outlineLevel="2">
      <c r="A580" s="246">
        <v>10268</v>
      </c>
      <c r="B580" s="247" t="s">
        <v>67</v>
      </c>
      <c r="C580" s="247" t="s">
        <v>1177</v>
      </c>
      <c r="D580" s="774" t="s">
        <v>1178</v>
      </c>
      <c r="E580" s="353" t="s">
        <v>55</v>
      </c>
      <c r="F580" s="362">
        <f>'MEMORIAL DE CALCULO'!H2836</f>
        <v>60</v>
      </c>
      <c r="G580" s="1171"/>
      <c r="H580" s="270">
        <f t="shared" si="157"/>
        <v>0</v>
      </c>
      <c r="I580" s="874">
        <f t="shared" si="160"/>
        <v>0</v>
      </c>
      <c r="J580" s="874">
        <f t="shared" si="161"/>
        <v>0</v>
      </c>
      <c r="K580" s="244"/>
    </row>
    <row r="581" spans="1:14" ht="28.5" outlineLevel="2">
      <c r="A581" s="246">
        <v>11417</v>
      </c>
      <c r="B581" s="247" t="s">
        <v>67</v>
      </c>
      <c r="C581" s="247" t="s">
        <v>1179</v>
      </c>
      <c r="D581" s="774" t="s">
        <v>1089</v>
      </c>
      <c r="E581" s="353" t="s">
        <v>55</v>
      </c>
      <c r="F581" s="362">
        <f>'MEMORIAL DE CALCULO'!H2838</f>
        <v>4</v>
      </c>
      <c r="G581" s="1171"/>
      <c r="H581" s="270">
        <f t="shared" si="157"/>
        <v>0</v>
      </c>
      <c r="I581" s="874">
        <f t="shared" si="160"/>
        <v>0</v>
      </c>
      <c r="J581" s="874">
        <f t="shared" si="161"/>
        <v>0</v>
      </c>
      <c r="K581" s="244"/>
    </row>
    <row r="582" spans="1:14" ht="30" customHeight="1" outlineLevel="2">
      <c r="A582" s="246">
        <v>11242</v>
      </c>
      <c r="B582" s="247" t="s">
        <v>67</v>
      </c>
      <c r="C582" s="247" t="s">
        <v>1180</v>
      </c>
      <c r="D582" s="774" t="s">
        <v>1093</v>
      </c>
      <c r="E582" s="353" t="s">
        <v>55</v>
      </c>
      <c r="F582" s="362">
        <f>'MEMORIAL DE CALCULO'!H2840</f>
        <v>73</v>
      </c>
      <c r="G582" s="1171"/>
      <c r="H582" s="270">
        <f t="shared" si="157"/>
        <v>0</v>
      </c>
      <c r="I582" s="874">
        <f t="shared" si="160"/>
        <v>0</v>
      </c>
      <c r="J582" s="874">
        <f t="shared" si="161"/>
        <v>0</v>
      </c>
      <c r="K582" s="244"/>
    </row>
    <row r="583" spans="1:14" ht="28.15" customHeight="1" outlineLevel="2">
      <c r="A583" s="246">
        <v>7138</v>
      </c>
      <c r="B583" s="247" t="s">
        <v>67</v>
      </c>
      <c r="C583" s="247" t="s">
        <v>1181</v>
      </c>
      <c r="D583" s="774" t="s">
        <v>1166</v>
      </c>
      <c r="E583" s="353" t="s">
        <v>246</v>
      </c>
      <c r="F583" s="362">
        <f>'MEMORIAL DE CALCULO'!H2842</f>
        <v>2760</v>
      </c>
      <c r="G583" s="1171"/>
      <c r="H583" s="270">
        <f t="shared" si="157"/>
        <v>0</v>
      </c>
      <c r="I583" s="874">
        <f t="shared" si="160"/>
        <v>0</v>
      </c>
      <c r="J583" s="874">
        <f t="shared" si="161"/>
        <v>0</v>
      </c>
      <c r="K583" s="244"/>
    </row>
    <row r="584" spans="1:14" ht="25.9" customHeight="1" outlineLevel="2">
      <c r="A584" s="246">
        <v>11214</v>
      </c>
      <c r="B584" s="247" t="s">
        <v>67</v>
      </c>
      <c r="C584" s="247" t="s">
        <v>1182</v>
      </c>
      <c r="D584" s="774" t="s">
        <v>1183</v>
      </c>
      <c r="E584" s="353" t="s">
        <v>55</v>
      </c>
      <c r="F584" s="362">
        <f>'MEMORIAL DE CALCULO'!H2844</f>
        <v>13</v>
      </c>
      <c r="G584" s="1171"/>
      <c r="H584" s="270">
        <f t="shared" si="157"/>
        <v>0</v>
      </c>
      <c r="I584" s="874">
        <f t="shared" si="160"/>
        <v>0</v>
      </c>
      <c r="J584" s="874">
        <f t="shared" si="161"/>
        <v>0</v>
      </c>
      <c r="K584" s="244"/>
      <c r="N584" s="675"/>
    </row>
    <row r="585" spans="1:14" ht="28.5" outlineLevel="2">
      <c r="A585" s="246">
        <v>7817</v>
      </c>
      <c r="B585" s="247" t="s">
        <v>67</v>
      </c>
      <c r="C585" s="247" t="s">
        <v>1184</v>
      </c>
      <c r="D585" s="774" t="s">
        <v>1109</v>
      </c>
      <c r="E585" s="353" t="s">
        <v>55</v>
      </c>
      <c r="F585" s="362">
        <f>'MEMORIAL DE CALCULO'!H2846</f>
        <v>1</v>
      </c>
      <c r="G585" s="1171"/>
      <c r="H585" s="270">
        <f t="shared" si="157"/>
        <v>0</v>
      </c>
      <c r="I585" s="874">
        <f t="shared" si="160"/>
        <v>0</v>
      </c>
      <c r="J585" s="874">
        <f t="shared" si="161"/>
        <v>0</v>
      </c>
      <c r="K585" s="244"/>
      <c r="N585" s="676"/>
    </row>
    <row r="586" spans="1:14" s="44" customFormat="1" ht="28.5" outlineLevel="2">
      <c r="A586" s="257">
        <v>8896</v>
      </c>
      <c r="B586" s="258" t="s">
        <v>67</v>
      </c>
      <c r="C586" s="247" t="s">
        <v>1185</v>
      </c>
      <c r="D586" s="757" t="s">
        <v>1080</v>
      </c>
      <c r="E586" s="758" t="s">
        <v>55</v>
      </c>
      <c r="F586" s="360">
        <f>'MEMORIAL DE CALCULO'!H2848</f>
        <v>21</v>
      </c>
      <c r="G586" s="1171"/>
      <c r="H586" s="270">
        <f t="shared" si="157"/>
        <v>0</v>
      </c>
      <c r="I586" s="272">
        <f t="shared" si="160"/>
        <v>0</v>
      </c>
      <c r="J586" s="272">
        <f t="shared" si="161"/>
        <v>0</v>
      </c>
      <c r="K586" s="268"/>
      <c r="N586" s="676"/>
    </row>
    <row r="587" spans="1:14" ht="23.45" customHeight="1" outlineLevel="2">
      <c r="A587" s="246">
        <v>9139</v>
      </c>
      <c r="B587" s="247" t="s">
        <v>67</v>
      </c>
      <c r="C587" s="247" t="s">
        <v>1186</v>
      </c>
      <c r="D587" s="774" t="s">
        <v>1187</v>
      </c>
      <c r="E587" s="353" t="s">
        <v>55</v>
      </c>
      <c r="F587" s="362">
        <f>'MEMORIAL DE CALCULO'!H2850</f>
        <v>4</v>
      </c>
      <c r="G587" s="1171"/>
      <c r="H587" s="270">
        <f t="shared" si="157"/>
        <v>0</v>
      </c>
      <c r="I587" s="874">
        <f t="shared" si="160"/>
        <v>0</v>
      </c>
      <c r="J587" s="874">
        <f t="shared" si="161"/>
        <v>0</v>
      </c>
      <c r="K587" s="244"/>
      <c r="N587" s="676"/>
    </row>
    <row r="588" spans="1:14" ht="28.5" outlineLevel="2">
      <c r="A588" s="246">
        <v>670</v>
      </c>
      <c r="B588" s="247" t="s">
        <v>67</v>
      </c>
      <c r="C588" s="247" t="s">
        <v>1188</v>
      </c>
      <c r="D588" s="774" t="s">
        <v>1189</v>
      </c>
      <c r="E588" s="353" t="s">
        <v>55</v>
      </c>
      <c r="F588" s="362">
        <f>'MEMORIAL DE CALCULO'!H2852</f>
        <v>4</v>
      </c>
      <c r="G588" s="1171"/>
      <c r="H588" s="270">
        <f t="shared" si="157"/>
        <v>0</v>
      </c>
      <c r="I588" s="874">
        <f t="shared" si="160"/>
        <v>0</v>
      </c>
      <c r="J588" s="874">
        <f t="shared" si="161"/>
        <v>0</v>
      </c>
      <c r="K588" s="244"/>
      <c r="N588" s="676"/>
    </row>
    <row r="589" spans="1:14" ht="28.5" outlineLevel="2">
      <c r="A589" s="246">
        <v>654</v>
      </c>
      <c r="B589" s="247" t="s">
        <v>67</v>
      </c>
      <c r="C589" s="247" t="s">
        <v>1190</v>
      </c>
      <c r="D589" s="774" t="s">
        <v>1191</v>
      </c>
      <c r="E589" s="353" t="s">
        <v>55</v>
      </c>
      <c r="F589" s="362">
        <f>'MEMORIAL DE CALCULO'!H2854</f>
        <v>18</v>
      </c>
      <c r="G589" s="1171"/>
      <c r="H589" s="270">
        <f t="shared" si="157"/>
        <v>0</v>
      </c>
      <c r="I589" s="874">
        <f t="shared" si="160"/>
        <v>0</v>
      </c>
      <c r="J589" s="874">
        <f t="shared" si="161"/>
        <v>0</v>
      </c>
      <c r="K589" s="244"/>
      <c r="N589" s="676"/>
    </row>
    <row r="590" spans="1:14" ht="57" outlineLevel="2">
      <c r="A590" s="246">
        <v>7269</v>
      </c>
      <c r="B590" s="247" t="s">
        <v>67</v>
      </c>
      <c r="C590" s="247" t="s">
        <v>1192</v>
      </c>
      <c r="D590" s="774" t="s">
        <v>1193</v>
      </c>
      <c r="E590" s="353" t="s">
        <v>55</v>
      </c>
      <c r="F590" s="362">
        <f>'MEMORIAL DE CALCULO'!H2856</f>
        <v>3</v>
      </c>
      <c r="G590" s="1171"/>
      <c r="H590" s="270">
        <f t="shared" si="157"/>
        <v>0</v>
      </c>
      <c r="I590" s="874">
        <f t="shared" si="160"/>
        <v>0</v>
      </c>
      <c r="J590" s="874">
        <f t="shared" si="161"/>
        <v>0</v>
      </c>
      <c r="K590" s="244"/>
      <c r="N590" s="677"/>
    </row>
    <row r="591" spans="1:14" ht="42.75" outlineLevel="2">
      <c r="A591" s="246">
        <v>91840</v>
      </c>
      <c r="B591" s="247" t="s">
        <v>26</v>
      </c>
      <c r="C591" s="247" t="s">
        <v>1194</v>
      </c>
      <c r="D591" s="774" t="s">
        <v>1195</v>
      </c>
      <c r="E591" s="353" t="s">
        <v>246</v>
      </c>
      <c r="F591" s="362">
        <f>'MEMORIAL DE CALCULO'!H2858</f>
        <v>180</v>
      </c>
      <c r="G591" s="1171"/>
      <c r="H591" s="270">
        <f t="shared" si="157"/>
        <v>0</v>
      </c>
      <c r="I591" s="874">
        <f t="shared" si="160"/>
        <v>0</v>
      </c>
      <c r="J591" s="874">
        <f t="shared" si="161"/>
        <v>0</v>
      </c>
      <c r="K591" s="244"/>
      <c r="N591" s="677"/>
    </row>
    <row r="592" spans="1:14" ht="36" customHeight="1" outlineLevel="2">
      <c r="A592" s="246">
        <v>97667</v>
      </c>
      <c r="B592" s="247" t="s">
        <v>26</v>
      </c>
      <c r="C592" s="247" t="s">
        <v>1196</v>
      </c>
      <c r="D592" s="774" t="s">
        <v>1197</v>
      </c>
      <c r="E592" s="353" t="s">
        <v>246</v>
      </c>
      <c r="F592" s="362">
        <f>'MEMORIAL DE CALCULO'!H2860</f>
        <v>36</v>
      </c>
      <c r="G592" s="1171"/>
      <c r="H592" s="270">
        <f t="shared" si="157"/>
        <v>0</v>
      </c>
      <c r="I592" s="874">
        <f t="shared" si="160"/>
        <v>0</v>
      </c>
      <c r="J592" s="874">
        <f t="shared" si="161"/>
        <v>0</v>
      </c>
      <c r="K592" s="244"/>
      <c r="N592" s="676"/>
    </row>
    <row r="593" spans="1:14" ht="36" customHeight="1" outlineLevel="2">
      <c r="A593" s="246">
        <v>97668</v>
      </c>
      <c r="B593" s="247" t="s">
        <v>26</v>
      </c>
      <c r="C593" s="247" t="s">
        <v>1198</v>
      </c>
      <c r="D593" s="774" t="s">
        <v>1199</v>
      </c>
      <c r="E593" s="353" t="s">
        <v>246</v>
      </c>
      <c r="F593" s="362">
        <f>'MEMORIAL DE CALCULO'!H2862</f>
        <v>60</v>
      </c>
      <c r="G593" s="1171"/>
      <c r="H593" s="270">
        <f t="shared" si="157"/>
        <v>0</v>
      </c>
      <c r="I593" s="874">
        <f t="shared" si="160"/>
        <v>0</v>
      </c>
      <c r="J593" s="874">
        <f t="shared" si="161"/>
        <v>0</v>
      </c>
      <c r="K593" s="244"/>
      <c r="N593" s="676"/>
    </row>
    <row r="594" spans="1:14" ht="24" customHeight="1" outlineLevel="2">
      <c r="A594" s="246">
        <v>354</v>
      </c>
      <c r="B594" s="247" t="s">
        <v>67</v>
      </c>
      <c r="C594" s="247" t="s">
        <v>1200</v>
      </c>
      <c r="D594" s="774" t="s">
        <v>905</v>
      </c>
      <c r="E594" s="353" t="s">
        <v>246</v>
      </c>
      <c r="F594" s="362">
        <v>3</v>
      </c>
      <c r="G594" s="1171"/>
      <c r="H594" s="270">
        <f t="shared" si="157"/>
        <v>0</v>
      </c>
      <c r="I594" s="874">
        <f t="shared" si="160"/>
        <v>0</v>
      </c>
      <c r="J594" s="874">
        <f t="shared" si="161"/>
        <v>0</v>
      </c>
      <c r="K594" s="244"/>
      <c r="N594" s="676"/>
    </row>
    <row r="595" spans="1:14" ht="28.5" outlineLevel="2">
      <c r="A595" s="246">
        <v>363</v>
      </c>
      <c r="B595" s="247" t="s">
        <v>67</v>
      </c>
      <c r="C595" s="247" t="s">
        <v>1201</v>
      </c>
      <c r="D595" s="774" t="s">
        <v>907</v>
      </c>
      <c r="E595" s="353" t="s">
        <v>55</v>
      </c>
      <c r="F595" s="362">
        <f>'MEMORIAL DE CALCULO'!H2866</f>
        <v>2</v>
      </c>
      <c r="G595" s="1171"/>
      <c r="H595" s="270">
        <f t="shared" si="157"/>
        <v>0</v>
      </c>
      <c r="I595" s="874">
        <f t="shared" si="160"/>
        <v>0</v>
      </c>
      <c r="J595" s="874">
        <f t="shared" si="161"/>
        <v>0</v>
      </c>
      <c r="K595" s="244"/>
      <c r="N595" s="676"/>
    </row>
    <row r="596" spans="1:14" ht="28.5" outlineLevel="2">
      <c r="A596" s="246">
        <v>372</v>
      </c>
      <c r="B596" s="247" t="s">
        <v>67</v>
      </c>
      <c r="C596" s="247" t="s">
        <v>1202</v>
      </c>
      <c r="D596" s="774" t="s">
        <v>1203</v>
      </c>
      <c r="E596" s="353" t="s">
        <v>55</v>
      </c>
      <c r="F596" s="362">
        <f>'MEMORIAL DE CALCULO'!H2868</f>
        <v>2</v>
      </c>
      <c r="G596" s="1171"/>
      <c r="H596" s="270">
        <f t="shared" si="157"/>
        <v>0</v>
      </c>
      <c r="I596" s="874">
        <f t="shared" si="160"/>
        <v>0</v>
      </c>
      <c r="J596" s="874">
        <f t="shared" si="161"/>
        <v>0</v>
      </c>
      <c r="K596" s="244"/>
      <c r="N596" s="676"/>
    </row>
    <row r="597" spans="1:14" ht="42" customHeight="1" outlineLevel="2">
      <c r="A597" s="246">
        <v>344</v>
      </c>
      <c r="B597" s="247" t="s">
        <v>67</v>
      </c>
      <c r="C597" s="247" t="s">
        <v>1204</v>
      </c>
      <c r="D597" s="774" t="s">
        <v>1122</v>
      </c>
      <c r="E597" s="353" t="s">
        <v>55</v>
      </c>
      <c r="F597" s="362">
        <f>'MEMORIAL DE CALCULO'!H2870</f>
        <v>2</v>
      </c>
      <c r="G597" s="1171"/>
      <c r="H597" s="270">
        <f t="shared" si="157"/>
        <v>0</v>
      </c>
      <c r="I597" s="874">
        <f t="shared" si="160"/>
        <v>0</v>
      </c>
      <c r="J597" s="874">
        <f t="shared" si="161"/>
        <v>0</v>
      </c>
      <c r="K597" s="244"/>
      <c r="N597" s="676"/>
    </row>
    <row r="598" spans="1:14" ht="42.75" outlineLevel="2">
      <c r="A598" s="246">
        <v>91865</v>
      </c>
      <c r="B598" s="247" t="s">
        <v>26</v>
      </c>
      <c r="C598" s="247" t="s">
        <v>1205</v>
      </c>
      <c r="D598" s="774" t="s">
        <v>1206</v>
      </c>
      <c r="E598" s="353" t="s">
        <v>246</v>
      </c>
      <c r="F598" s="362">
        <f>'MEMORIAL DE CALCULO'!H2872</f>
        <v>25.2</v>
      </c>
      <c r="G598" s="1171"/>
      <c r="H598" s="270">
        <f t="shared" ref="H598:H633" si="162">G598*$I$5</f>
        <v>0</v>
      </c>
      <c r="I598" s="874">
        <f t="shared" si="160"/>
        <v>0</v>
      </c>
      <c r="J598" s="874">
        <f t="shared" si="161"/>
        <v>0</v>
      </c>
      <c r="K598" s="244"/>
      <c r="N598" s="676"/>
    </row>
    <row r="599" spans="1:14" ht="28.5" outlineLevel="2">
      <c r="A599" s="257">
        <v>364</v>
      </c>
      <c r="B599" s="258" t="s">
        <v>67</v>
      </c>
      <c r="C599" s="247" t="s">
        <v>1207</v>
      </c>
      <c r="D599" s="774" t="s">
        <v>1126</v>
      </c>
      <c r="E599" s="353" t="s">
        <v>55</v>
      </c>
      <c r="F599" s="362">
        <f>'MEMORIAL DE CALCULO'!H2874</f>
        <v>7</v>
      </c>
      <c r="G599" s="1171"/>
      <c r="H599" s="270">
        <f t="shared" si="162"/>
        <v>0</v>
      </c>
      <c r="I599" s="874">
        <f t="shared" si="160"/>
        <v>0</v>
      </c>
      <c r="J599" s="874">
        <f t="shared" si="161"/>
        <v>0</v>
      </c>
      <c r="K599" s="244"/>
      <c r="N599" s="676"/>
    </row>
    <row r="600" spans="1:14" ht="28.5" outlineLevel="2">
      <c r="A600" s="246">
        <v>373</v>
      </c>
      <c r="B600" s="247" t="s">
        <v>67</v>
      </c>
      <c r="C600" s="247" t="s">
        <v>1208</v>
      </c>
      <c r="D600" s="774" t="s">
        <v>1209</v>
      </c>
      <c r="E600" s="353" t="s">
        <v>55</v>
      </c>
      <c r="F600" s="362">
        <f>'MEMORIAL DE CALCULO'!H2876</f>
        <v>7</v>
      </c>
      <c r="G600" s="1171"/>
      <c r="H600" s="270">
        <f t="shared" si="162"/>
        <v>0</v>
      </c>
      <c r="I600" s="874">
        <f t="shared" si="160"/>
        <v>0</v>
      </c>
      <c r="J600" s="874">
        <f t="shared" si="161"/>
        <v>0</v>
      </c>
      <c r="K600" s="244"/>
      <c r="N600" s="676"/>
    </row>
    <row r="601" spans="1:14" ht="35.450000000000003" customHeight="1" outlineLevel="2">
      <c r="A601" s="246">
        <v>9925</v>
      </c>
      <c r="B601" s="247" t="s">
        <v>67</v>
      </c>
      <c r="C601" s="247" t="s">
        <v>1210</v>
      </c>
      <c r="D601" s="774" t="s">
        <v>1130</v>
      </c>
      <c r="E601" s="353" t="s">
        <v>55</v>
      </c>
      <c r="F601" s="362">
        <f>'MEMORIAL DE CALCULO'!H2878</f>
        <v>7</v>
      </c>
      <c r="G601" s="1171"/>
      <c r="H601" s="270">
        <f t="shared" si="162"/>
        <v>0</v>
      </c>
      <c r="I601" s="874">
        <f t="shared" si="160"/>
        <v>0</v>
      </c>
      <c r="J601" s="874">
        <f t="shared" si="161"/>
        <v>0</v>
      </c>
      <c r="K601" s="244"/>
      <c r="N601" s="676"/>
    </row>
    <row r="602" spans="1:14" ht="39.6" customHeight="1" outlineLevel="2">
      <c r="A602" s="246">
        <v>91834</v>
      </c>
      <c r="B602" s="247" t="s">
        <v>26</v>
      </c>
      <c r="C602" s="247" t="s">
        <v>1211</v>
      </c>
      <c r="D602" s="774" t="s">
        <v>1132</v>
      </c>
      <c r="E602" s="353" t="s">
        <v>246</v>
      </c>
      <c r="F602" s="362">
        <f>'MEMORIAL DE CALCULO'!H2880</f>
        <v>120</v>
      </c>
      <c r="G602" s="1171"/>
      <c r="H602" s="270">
        <f t="shared" si="162"/>
        <v>0</v>
      </c>
      <c r="I602" s="874">
        <f t="shared" si="160"/>
        <v>0</v>
      </c>
      <c r="J602" s="874">
        <f t="shared" si="161"/>
        <v>0</v>
      </c>
      <c r="K602" s="244"/>
      <c r="N602" s="676"/>
    </row>
    <row r="603" spans="1:14" ht="42.75" outlineLevel="2">
      <c r="A603" s="246">
        <v>91837</v>
      </c>
      <c r="B603" s="247" t="s">
        <v>26</v>
      </c>
      <c r="C603" s="247" t="s">
        <v>1212</v>
      </c>
      <c r="D603" s="774" t="s">
        <v>1213</v>
      </c>
      <c r="E603" s="353" t="s">
        <v>246</v>
      </c>
      <c r="F603" s="362">
        <f>'MEMORIAL DE CALCULO'!H2882</f>
        <v>156</v>
      </c>
      <c r="G603" s="1171"/>
      <c r="H603" s="270">
        <f t="shared" si="162"/>
        <v>0</v>
      </c>
      <c r="I603" s="874">
        <f t="shared" si="160"/>
        <v>0</v>
      </c>
      <c r="J603" s="874">
        <f t="shared" si="161"/>
        <v>0</v>
      </c>
      <c r="K603" s="244"/>
      <c r="N603" s="676"/>
    </row>
    <row r="604" spans="1:14" ht="28.5" outlineLevel="2">
      <c r="A604" s="246" t="s">
        <v>1214</v>
      </c>
      <c r="B604" s="247" t="s">
        <v>26</v>
      </c>
      <c r="C604" s="247" t="s">
        <v>1215</v>
      </c>
      <c r="D604" s="774" t="s">
        <v>1216</v>
      </c>
      <c r="E604" s="353" t="s">
        <v>55</v>
      </c>
      <c r="F604" s="362">
        <f>'MEMORIAL DE CALCULO'!J2884</f>
        <v>21</v>
      </c>
      <c r="G604" s="1171"/>
      <c r="H604" s="270">
        <f t="shared" si="162"/>
        <v>0</v>
      </c>
      <c r="I604" s="874">
        <f t="shared" si="160"/>
        <v>0</v>
      </c>
      <c r="J604" s="874">
        <f t="shared" si="161"/>
        <v>0</v>
      </c>
      <c r="K604" s="244"/>
      <c r="N604" s="677"/>
    </row>
    <row r="605" spans="1:14" ht="28.5" outlineLevel="2">
      <c r="A605" s="246">
        <v>91846</v>
      </c>
      <c r="B605" s="247" t="s">
        <v>26</v>
      </c>
      <c r="C605" s="247" t="s">
        <v>1217</v>
      </c>
      <c r="D605" s="774" t="s">
        <v>1218</v>
      </c>
      <c r="E605" s="353" t="s">
        <v>246</v>
      </c>
      <c r="F605" s="362">
        <f>'MEMORIAL DE CALCULO'!J2886</f>
        <v>108</v>
      </c>
      <c r="G605" s="1171"/>
      <c r="H605" s="270">
        <f t="shared" si="162"/>
        <v>0</v>
      </c>
      <c r="I605" s="874">
        <f t="shared" si="160"/>
        <v>0</v>
      </c>
      <c r="J605" s="874">
        <f t="shared" si="161"/>
        <v>0</v>
      </c>
      <c r="K605" s="244"/>
      <c r="N605" s="677"/>
    </row>
    <row r="606" spans="1:14" ht="28.5" outlineLevel="2">
      <c r="A606" s="246" t="s">
        <v>1133</v>
      </c>
      <c r="B606" s="247" t="s">
        <v>26</v>
      </c>
      <c r="C606" s="247" t="s">
        <v>1219</v>
      </c>
      <c r="D606" s="774" t="s">
        <v>1135</v>
      </c>
      <c r="E606" s="353" t="s">
        <v>55</v>
      </c>
      <c r="F606" s="362">
        <f>'MEMORIAL DE CALCULO'!H2888</f>
        <v>6</v>
      </c>
      <c r="G606" s="1171"/>
      <c r="H606" s="270">
        <f t="shared" si="162"/>
        <v>0</v>
      </c>
      <c r="I606" s="874">
        <f t="shared" si="160"/>
        <v>0</v>
      </c>
      <c r="J606" s="874">
        <f t="shared" si="161"/>
        <v>0</v>
      </c>
      <c r="K606" s="244"/>
      <c r="N606" s="676"/>
    </row>
    <row r="607" spans="1:14" ht="28.5" outlineLevel="2">
      <c r="A607" s="246">
        <v>8075</v>
      </c>
      <c r="B607" s="247" t="s">
        <v>67</v>
      </c>
      <c r="C607" s="247" t="s">
        <v>1220</v>
      </c>
      <c r="D607" s="783" t="s">
        <v>1221</v>
      </c>
      <c r="E607" s="355" t="s">
        <v>55</v>
      </c>
      <c r="F607" s="760">
        <f>'MEMORIAL DE CALCULO'!H2890</f>
        <v>15</v>
      </c>
      <c r="G607" s="1171"/>
      <c r="H607" s="270">
        <f t="shared" si="162"/>
        <v>0</v>
      </c>
      <c r="I607" s="874">
        <f t="shared" si="160"/>
        <v>0</v>
      </c>
      <c r="J607" s="874">
        <f t="shared" si="161"/>
        <v>0</v>
      </c>
      <c r="K607" s="320"/>
      <c r="N607" s="676"/>
    </row>
    <row r="608" spans="1:14" ht="19.899999999999999" customHeight="1">
      <c r="A608" s="263"/>
      <c r="B608" s="263"/>
      <c r="C608" s="347" t="s">
        <v>1222</v>
      </c>
      <c r="D608" s="23" t="s">
        <v>1223</v>
      </c>
      <c r="E608" s="22"/>
      <c r="F608" s="51"/>
      <c r="G608" s="52"/>
      <c r="H608" s="52"/>
      <c r="I608" s="245">
        <f>SUM(I609:I619)</f>
        <v>0</v>
      </c>
      <c r="J608" s="245">
        <f>SUM(J609:J619)</f>
        <v>0</v>
      </c>
      <c r="K608" s="26" t="e">
        <f>J608/$J$685</f>
        <v>#DIV/0!</v>
      </c>
      <c r="N608" s="676"/>
    </row>
    <row r="609" spans="1:14" ht="42.75" outlineLevel="1">
      <c r="A609" s="246">
        <v>89806</v>
      </c>
      <c r="B609" s="247" t="s">
        <v>26</v>
      </c>
      <c r="C609" s="247" t="s">
        <v>1224</v>
      </c>
      <c r="D609" s="784" t="s">
        <v>1225</v>
      </c>
      <c r="E609" s="567" t="s">
        <v>55</v>
      </c>
      <c r="F609" s="739">
        <f>'MEMORIAL DE CALCULO'!H2894</f>
        <v>69</v>
      </c>
      <c r="G609" s="1171"/>
      <c r="H609" s="270">
        <f t="shared" si="162"/>
        <v>0</v>
      </c>
      <c r="I609" s="874">
        <f t="shared" ref="I609:I618" si="163">F609*G609</f>
        <v>0</v>
      </c>
      <c r="J609" s="874">
        <f t="shared" ref="J609:J618" si="164">H609*F609</f>
        <v>0</v>
      </c>
      <c r="K609" s="566"/>
      <c r="N609" s="676"/>
    </row>
    <row r="610" spans="1:14" ht="42.75" outlineLevel="1">
      <c r="A610" s="257">
        <v>89799</v>
      </c>
      <c r="B610" s="649" t="s">
        <v>26</v>
      </c>
      <c r="C610" s="247" t="s">
        <v>1226</v>
      </c>
      <c r="D610" s="774" t="s">
        <v>1227</v>
      </c>
      <c r="E610" s="353" t="s">
        <v>246</v>
      </c>
      <c r="F610" s="362">
        <f>'MEMORIAL DE CALCULO'!J2896</f>
        <v>26</v>
      </c>
      <c r="G610" s="1171"/>
      <c r="H610" s="270">
        <f t="shared" si="162"/>
        <v>0</v>
      </c>
      <c r="I610" s="874">
        <f t="shared" si="163"/>
        <v>0</v>
      </c>
      <c r="J610" s="874">
        <f t="shared" si="164"/>
        <v>0</v>
      </c>
      <c r="K610" s="244"/>
    </row>
    <row r="611" spans="1:14" ht="28.5" outlineLevel="1">
      <c r="A611" s="246">
        <v>90441</v>
      </c>
      <c r="B611" s="247" t="s">
        <v>26</v>
      </c>
      <c r="C611" s="247" t="s">
        <v>1228</v>
      </c>
      <c r="D611" s="774" t="s">
        <v>269</v>
      </c>
      <c r="E611" s="353" t="s">
        <v>55</v>
      </c>
      <c r="F611" s="362">
        <f>'MEMORIAL DE CALCULO'!H2898</f>
        <v>23</v>
      </c>
      <c r="G611" s="1171"/>
      <c r="H611" s="270">
        <f t="shared" si="162"/>
        <v>0</v>
      </c>
      <c r="I611" s="874">
        <f t="shared" si="163"/>
        <v>0</v>
      </c>
      <c r="J611" s="874">
        <f t="shared" si="164"/>
        <v>0</v>
      </c>
      <c r="K611" s="244"/>
    </row>
    <row r="612" spans="1:14" ht="27" customHeight="1" outlineLevel="1">
      <c r="A612" s="246">
        <v>9384</v>
      </c>
      <c r="B612" s="247" t="s">
        <v>67</v>
      </c>
      <c r="C612" s="247" t="s">
        <v>1229</v>
      </c>
      <c r="D612" s="774" t="s">
        <v>1230</v>
      </c>
      <c r="E612" s="353" t="s">
        <v>246</v>
      </c>
      <c r="F612" s="362">
        <f>'MEMORIAL DE CALCULO'!J2900</f>
        <v>180</v>
      </c>
      <c r="G612" s="1171"/>
      <c r="H612" s="270">
        <f t="shared" si="162"/>
        <v>0</v>
      </c>
      <c r="I612" s="874">
        <f t="shared" si="163"/>
        <v>0</v>
      </c>
      <c r="J612" s="874">
        <f t="shared" si="164"/>
        <v>0</v>
      </c>
      <c r="K612" s="244"/>
    </row>
    <row r="613" spans="1:14" ht="28.5" outlineLevel="1">
      <c r="A613" s="246">
        <v>1670</v>
      </c>
      <c r="B613" s="247" t="s">
        <v>67</v>
      </c>
      <c r="C613" s="247" t="s">
        <v>1231</v>
      </c>
      <c r="D613" s="774" t="s">
        <v>1232</v>
      </c>
      <c r="E613" s="353" t="s">
        <v>55</v>
      </c>
      <c r="F613" s="362">
        <f>'MEMORIAL DE CALCULO'!H2902</f>
        <v>17</v>
      </c>
      <c r="G613" s="1171"/>
      <c r="H613" s="270">
        <f t="shared" si="162"/>
        <v>0</v>
      </c>
      <c r="I613" s="874">
        <f t="shared" si="163"/>
        <v>0</v>
      </c>
      <c r="J613" s="874">
        <f t="shared" si="164"/>
        <v>0</v>
      </c>
      <c r="K613" s="244"/>
    </row>
    <row r="614" spans="1:14" ht="28.5" outlineLevel="1">
      <c r="A614" s="246">
        <v>1674</v>
      </c>
      <c r="B614" s="247" t="s">
        <v>67</v>
      </c>
      <c r="C614" s="247" t="s">
        <v>1233</v>
      </c>
      <c r="D614" s="774" t="s">
        <v>1234</v>
      </c>
      <c r="E614" s="353" t="s">
        <v>55</v>
      </c>
      <c r="F614" s="362">
        <f>'MEMORIAL DE CALCULO'!H2904</f>
        <v>11</v>
      </c>
      <c r="G614" s="1171"/>
      <c r="H614" s="270">
        <f t="shared" si="162"/>
        <v>0</v>
      </c>
      <c r="I614" s="874">
        <f t="shared" si="163"/>
        <v>0</v>
      </c>
      <c r="J614" s="874">
        <f t="shared" si="164"/>
        <v>0</v>
      </c>
      <c r="K614" s="244"/>
    </row>
    <row r="615" spans="1:14" ht="71.25" outlineLevel="1">
      <c r="A615" s="246">
        <v>7289</v>
      </c>
      <c r="B615" s="247" t="s">
        <v>67</v>
      </c>
      <c r="C615" s="247" t="s">
        <v>1235</v>
      </c>
      <c r="D615" s="774" t="s">
        <v>1236</v>
      </c>
      <c r="E615" s="775" t="s">
        <v>246</v>
      </c>
      <c r="F615" s="362">
        <f>'MEMORIAL DE CALCULO'!J2906</f>
        <v>268.07000000000005</v>
      </c>
      <c r="G615" s="1171"/>
      <c r="H615" s="270">
        <f t="shared" si="162"/>
        <v>0</v>
      </c>
      <c r="I615" s="874">
        <f t="shared" ref="I615" si="165">F615*G615</f>
        <v>0</v>
      </c>
      <c r="J615" s="874">
        <f t="shared" ref="J615" si="166">H615*F615</f>
        <v>0</v>
      </c>
      <c r="K615" s="244"/>
    </row>
    <row r="616" spans="1:14" ht="28.5" outlineLevel="1">
      <c r="A616" s="246">
        <v>13271</v>
      </c>
      <c r="B616" s="247" t="s">
        <v>67</v>
      </c>
      <c r="C616" s="247" t="s">
        <v>1237</v>
      </c>
      <c r="D616" s="774" t="s">
        <v>1238</v>
      </c>
      <c r="E616" s="353" t="s">
        <v>55</v>
      </c>
      <c r="F616" s="362">
        <f>'MEMORIAL DE CALCULO'!H2930</f>
        <v>2</v>
      </c>
      <c r="G616" s="1171"/>
      <c r="H616" s="270">
        <f t="shared" si="162"/>
        <v>0</v>
      </c>
      <c r="I616" s="874">
        <f t="shared" si="163"/>
        <v>0</v>
      </c>
      <c r="J616" s="874">
        <f t="shared" si="164"/>
        <v>0</v>
      </c>
      <c r="K616" s="244"/>
      <c r="L616" s="536"/>
    </row>
    <row r="617" spans="1:14" ht="42.75" outlineLevel="1">
      <c r="A617" s="246">
        <v>13274</v>
      </c>
      <c r="B617" s="247" t="s">
        <v>67</v>
      </c>
      <c r="C617" s="247" t="s">
        <v>1239</v>
      </c>
      <c r="D617" s="774" t="s">
        <v>1240</v>
      </c>
      <c r="E617" s="353" t="s">
        <v>55</v>
      </c>
      <c r="F617" s="362">
        <f>'MEMORIAL DE CALCULO'!H2933</f>
        <v>16</v>
      </c>
      <c r="G617" s="1171"/>
      <c r="H617" s="270">
        <f t="shared" si="162"/>
        <v>0</v>
      </c>
      <c r="I617" s="874">
        <f t="shared" si="163"/>
        <v>0</v>
      </c>
      <c r="J617" s="874">
        <f t="shared" si="164"/>
        <v>0</v>
      </c>
      <c r="K617" s="244"/>
    </row>
    <row r="618" spans="1:14" ht="42.75" outlineLevel="1">
      <c r="A618" s="246">
        <v>13275</v>
      </c>
      <c r="B618" s="247" t="s">
        <v>67</v>
      </c>
      <c r="C618" s="247" t="s">
        <v>1241</v>
      </c>
      <c r="D618" s="774" t="s">
        <v>1242</v>
      </c>
      <c r="E618" s="353" t="s">
        <v>55</v>
      </c>
      <c r="F618" s="362">
        <f>'MEMORIAL DE CALCULO'!H2946</f>
        <v>5</v>
      </c>
      <c r="G618" s="1171"/>
      <c r="H618" s="270">
        <f t="shared" si="162"/>
        <v>0</v>
      </c>
      <c r="I618" s="874">
        <f t="shared" si="163"/>
        <v>0</v>
      </c>
      <c r="J618" s="874">
        <f t="shared" si="164"/>
        <v>0</v>
      </c>
      <c r="K618" s="244"/>
    </row>
    <row r="619" spans="1:14" outlineLevel="1">
      <c r="A619" s="246">
        <v>11509</v>
      </c>
      <c r="B619" s="247" t="s">
        <v>67</v>
      </c>
      <c r="C619" s="247" t="s">
        <v>1243</v>
      </c>
      <c r="D619" s="774" t="s">
        <v>1244</v>
      </c>
      <c r="E619" s="353" t="s">
        <v>170</v>
      </c>
      <c r="F619" s="362">
        <f>'MEMORIAL DE CALCULO'!H2949</f>
        <v>25</v>
      </c>
      <c r="G619" s="1171"/>
      <c r="H619" s="270">
        <f t="shared" si="162"/>
        <v>0</v>
      </c>
      <c r="I619" s="874">
        <f t="shared" ref="I619" si="167">F619*G619</f>
        <v>0</v>
      </c>
      <c r="J619" s="874">
        <f t="shared" ref="J619" si="168">H619*F619</f>
        <v>0</v>
      </c>
      <c r="K619" s="244"/>
    </row>
    <row r="620" spans="1:14" s="55" customFormat="1" ht="19.899999999999999" customHeight="1">
      <c r="A620" s="256"/>
      <c r="B620" s="256"/>
      <c r="C620" s="256" t="s">
        <v>1245</v>
      </c>
      <c r="D620" s="53" t="s">
        <v>1246</v>
      </c>
      <c r="E620" s="41"/>
      <c r="F620" s="27"/>
      <c r="G620" s="54"/>
      <c r="H620" s="54"/>
      <c r="I620" s="271">
        <f>SUM(I621:I629)</f>
        <v>0</v>
      </c>
      <c r="J620" s="271">
        <f>SUM(J621:J629)</f>
        <v>0</v>
      </c>
      <c r="K620" s="26" t="e">
        <f>J620/$J$685</f>
        <v>#DIV/0!</v>
      </c>
      <c r="L620" s="291"/>
    </row>
    <row r="621" spans="1:14" ht="28.5" outlineLevel="1">
      <c r="A621" s="253">
        <v>7838</v>
      </c>
      <c r="B621" s="254" t="s">
        <v>67</v>
      </c>
      <c r="C621" s="264" t="s">
        <v>1247</v>
      </c>
      <c r="D621" s="774" t="s">
        <v>1248</v>
      </c>
      <c r="E621" s="353" t="s">
        <v>55</v>
      </c>
      <c r="F621" s="362">
        <f>'MEMORIAL DE CALCULO'!H2954</f>
        <v>1</v>
      </c>
      <c r="G621" s="1171"/>
      <c r="H621" s="270">
        <f t="shared" si="162"/>
        <v>0</v>
      </c>
      <c r="I621" s="874">
        <f t="shared" ref="I621:I627" si="169">F621*G621</f>
        <v>0</v>
      </c>
      <c r="J621" s="874">
        <f t="shared" ref="J621:J627" si="170">F621*H621</f>
        <v>0</v>
      </c>
      <c r="K621" s="562"/>
    </row>
    <row r="622" spans="1:14" ht="36.75" customHeight="1" outlineLevel="1">
      <c r="A622" s="253">
        <v>2555</v>
      </c>
      <c r="B622" s="254" t="s">
        <v>67</v>
      </c>
      <c r="C622" s="264" t="s">
        <v>1249</v>
      </c>
      <c r="D622" s="774" t="str">
        <f>UPPER("Placa 20x35 em chapa esmaltada para identificação de logradouros")</f>
        <v>PLACA 20X35 EM CHAPA ESMALTADA PARA IDENTIFICAÇÃO DE LOGRADOUROS</v>
      </c>
      <c r="E622" s="353" t="s">
        <v>55</v>
      </c>
      <c r="F622" s="362">
        <f>'MEMORIAL DE CALCULO'!H2956</f>
        <v>1</v>
      </c>
      <c r="G622" s="1171"/>
      <c r="H622" s="270">
        <f t="shared" si="162"/>
        <v>0</v>
      </c>
      <c r="I622" s="874">
        <f t="shared" si="169"/>
        <v>0</v>
      </c>
      <c r="J622" s="874">
        <f t="shared" si="170"/>
        <v>0</v>
      </c>
      <c r="K622" s="32"/>
    </row>
    <row r="623" spans="1:14" ht="42.75" outlineLevel="1">
      <c r="A623" s="246">
        <v>92312</v>
      </c>
      <c r="B623" s="247" t="s">
        <v>26</v>
      </c>
      <c r="C623" s="264" t="s">
        <v>1250</v>
      </c>
      <c r="D623" s="774" t="s">
        <v>1251</v>
      </c>
      <c r="E623" s="353" t="s">
        <v>55</v>
      </c>
      <c r="F623" s="362">
        <f>'MEMORIAL DE CALCULO'!H2958</f>
        <v>6</v>
      </c>
      <c r="G623" s="1171"/>
      <c r="H623" s="270">
        <f t="shared" si="162"/>
        <v>0</v>
      </c>
      <c r="I623" s="874">
        <f t="shared" si="169"/>
        <v>0</v>
      </c>
      <c r="J623" s="874">
        <f t="shared" si="170"/>
        <v>0</v>
      </c>
      <c r="K623" s="32"/>
    </row>
    <row r="624" spans="1:14" ht="26.45" customHeight="1" outlineLevel="1">
      <c r="A624" s="257">
        <v>1360</v>
      </c>
      <c r="B624" s="257" t="s">
        <v>67</v>
      </c>
      <c r="C624" s="265" t="s">
        <v>1252</v>
      </c>
      <c r="D624" s="774" t="s">
        <v>1253</v>
      </c>
      <c r="E624" s="353" t="s">
        <v>246</v>
      </c>
      <c r="F624" s="362">
        <f>'MEMORIAL DE CALCULO'!J2960</f>
        <v>15</v>
      </c>
      <c r="G624" s="1171"/>
      <c r="H624" s="270">
        <f t="shared" si="162"/>
        <v>0</v>
      </c>
      <c r="I624" s="270">
        <f t="shared" si="169"/>
        <v>0</v>
      </c>
      <c r="J624" s="270">
        <f t="shared" si="170"/>
        <v>0</v>
      </c>
      <c r="K624" s="32"/>
    </row>
    <row r="625" spans="1:11" ht="28.5" outlineLevel="1">
      <c r="A625" s="257">
        <v>1369</v>
      </c>
      <c r="B625" s="258" t="s">
        <v>67</v>
      </c>
      <c r="C625" s="264" t="s">
        <v>1254</v>
      </c>
      <c r="D625" s="774" t="s">
        <v>1255</v>
      </c>
      <c r="E625" s="353" t="s">
        <v>55</v>
      </c>
      <c r="F625" s="362">
        <f>'MEMORIAL DE CALCULO'!H2962</f>
        <v>3</v>
      </c>
      <c r="G625" s="1171"/>
      <c r="H625" s="270">
        <f t="shared" si="162"/>
        <v>0</v>
      </c>
      <c r="I625" s="874">
        <f t="shared" si="169"/>
        <v>0</v>
      </c>
      <c r="J625" s="874">
        <f t="shared" si="170"/>
        <v>0</v>
      </c>
      <c r="K625" s="32"/>
    </row>
    <row r="626" spans="1:11" ht="27" customHeight="1" outlineLevel="1">
      <c r="A626" s="257" t="s">
        <v>1256</v>
      </c>
      <c r="B626" s="258" t="s">
        <v>67</v>
      </c>
      <c r="C626" s="264" t="s">
        <v>1257</v>
      </c>
      <c r="D626" s="774" t="s">
        <v>1258</v>
      </c>
      <c r="E626" s="353" t="s">
        <v>55</v>
      </c>
      <c r="F626" s="362">
        <f>'MEMORIAL DE CALCULO'!H2964</f>
        <v>5</v>
      </c>
      <c r="G626" s="1171"/>
      <c r="H626" s="270">
        <f t="shared" si="162"/>
        <v>0</v>
      </c>
      <c r="I626" s="874">
        <f t="shared" si="169"/>
        <v>0</v>
      </c>
      <c r="J626" s="874">
        <f t="shared" si="170"/>
        <v>0</v>
      </c>
      <c r="K626" s="32"/>
    </row>
    <row r="627" spans="1:11" ht="28.5" outlineLevel="1">
      <c r="A627" s="716">
        <v>10881</v>
      </c>
      <c r="B627" s="548" t="s">
        <v>67</v>
      </c>
      <c r="C627" s="717" t="s">
        <v>1259</v>
      </c>
      <c r="D627" s="783" t="s">
        <v>1260</v>
      </c>
      <c r="E627" s="355" t="s">
        <v>55</v>
      </c>
      <c r="F627" s="760">
        <f>'MEMORIAL DE CALCULO'!H2966</f>
        <v>1</v>
      </c>
      <c r="G627" s="1171"/>
      <c r="H627" s="270">
        <f t="shared" si="162"/>
        <v>0</v>
      </c>
      <c r="I627" s="549">
        <f t="shared" si="169"/>
        <v>0</v>
      </c>
      <c r="J627" s="549">
        <f t="shared" si="170"/>
        <v>0</v>
      </c>
      <c r="K627" s="319"/>
    </row>
    <row r="628" spans="1:11" ht="28.5" outlineLevel="1">
      <c r="A628" s="715">
        <v>10024</v>
      </c>
      <c r="B628" s="715" t="s">
        <v>67</v>
      </c>
      <c r="C628" s="717" t="s">
        <v>1261</v>
      </c>
      <c r="D628" s="783" t="s">
        <v>1262</v>
      </c>
      <c r="E628" s="355" t="s">
        <v>246</v>
      </c>
      <c r="F628" s="760">
        <f>'MEMORIAL DE CALCULO'!J2968</f>
        <v>15</v>
      </c>
      <c r="G628" s="1171"/>
      <c r="H628" s="270">
        <f t="shared" si="162"/>
        <v>0</v>
      </c>
      <c r="I628" s="549">
        <f t="shared" ref="I628:I629" si="171">F628*G628</f>
        <v>0</v>
      </c>
      <c r="J628" s="549">
        <f t="shared" ref="J628:J629" si="172">F628*H628</f>
        <v>0</v>
      </c>
      <c r="K628" s="297"/>
    </row>
    <row r="629" spans="1:11" ht="28.5" outlineLevel="1">
      <c r="A629" s="722">
        <v>12032</v>
      </c>
      <c r="B629" s="722" t="s">
        <v>67</v>
      </c>
      <c r="C629" s="717" t="s">
        <v>1263</v>
      </c>
      <c r="D629" s="783" t="s">
        <v>1264</v>
      </c>
      <c r="E629" s="355" t="s">
        <v>109</v>
      </c>
      <c r="F629" s="760">
        <f>'MEMORIAL DE CALCULO'!O2970</f>
        <v>0.34199999999999997</v>
      </c>
      <c r="G629" s="1171"/>
      <c r="H629" s="270">
        <f t="shared" si="162"/>
        <v>0</v>
      </c>
      <c r="I629" s="549">
        <f t="shared" si="171"/>
        <v>0</v>
      </c>
      <c r="J629" s="549">
        <f t="shared" si="172"/>
        <v>0</v>
      </c>
      <c r="K629" s="302"/>
    </row>
    <row r="630" spans="1:11" s="55" customFormat="1" ht="19.899999999999999" customHeight="1">
      <c r="A630" s="719"/>
      <c r="B630" s="719"/>
      <c r="C630" s="719" t="s">
        <v>1265</v>
      </c>
      <c r="D630" s="914" t="s">
        <v>1266</v>
      </c>
      <c r="E630" s="915"/>
      <c r="F630" s="916"/>
      <c r="G630" s="917"/>
      <c r="H630" s="917"/>
      <c r="I630" s="720">
        <f>SUM(I631:I633)</f>
        <v>0</v>
      </c>
      <c r="J630" s="720">
        <f>SUM(J631:J633)</f>
        <v>0</v>
      </c>
      <c r="K630" s="721" t="e">
        <f>J630/$J$685</f>
        <v>#DIV/0!</v>
      </c>
    </row>
    <row r="631" spans="1:11" ht="22.9" customHeight="1" outlineLevel="1">
      <c r="A631" s="723">
        <v>353</v>
      </c>
      <c r="B631" s="724" t="s">
        <v>67</v>
      </c>
      <c r="C631" s="725" t="s">
        <v>1267</v>
      </c>
      <c r="D631" s="781" t="s">
        <v>1268</v>
      </c>
      <c r="E631" s="567" t="s">
        <v>246</v>
      </c>
      <c r="F631" s="782">
        <f>'MEMORIAL DE CALCULO'!J2974</f>
        <v>200</v>
      </c>
      <c r="G631" s="1171"/>
      <c r="H631" s="270">
        <f t="shared" si="162"/>
        <v>0</v>
      </c>
      <c r="I631" s="573">
        <f>F631*G631</f>
        <v>0</v>
      </c>
      <c r="J631" s="573">
        <f>F631*H631</f>
        <v>0</v>
      </c>
      <c r="K631" s="566"/>
    </row>
    <row r="632" spans="1:11" ht="25.9" customHeight="1" outlineLevel="1">
      <c r="A632" s="246">
        <v>743</v>
      </c>
      <c r="B632" s="247" t="s">
        <v>67</v>
      </c>
      <c r="C632" s="264" t="s">
        <v>1269</v>
      </c>
      <c r="D632" s="774" t="s">
        <v>1026</v>
      </c>
      <c r="E632" s="353" t="s">
        <v>55</v>
      </c>
      <c r="F632" s="362">
        <f>'MEMORIAL DE CALCULO'!H2977</f>
        <v>15</v>
      </c>
      <c r="G632" s="1171"/>
      <c r="H632" s="270">
        <f t="shared" si="162"/>
        <v>0</v>
      </c>
      <c r="I632" s="874">
        <f>F632*G632</f>
        <v>0</v>
      </c>
      <c r="J632" s="874">
        <f>H632*F632</f>
        <v>0</v>
      </c>
      <c r="K632" s="244"/>
    </row>
    <row r="633" spans="1:11" ht="28.5" outlineLevel="1">
      <c r="A633" s="246" t="str">
        <f>'COMP. ELÉTRICA'!A209</f>
        <v>COMP/ELE -18</v>
      </c>
      <c r="B633" s="247"/>
      <c r="C633" s="264" t="s">
        <v>1270</v>
      </c>
      <c r="D633" s="783" t="s">
        <v>1271</v>
      </c>
      <c r="E633" s="355" t="s">
        <v>55</v>
      </c>
      <c r="F633" s="771">
        <f>'MEMORIAL DE CALCULO'!H2980</f>
        <v>12</v>
      </c>
      <c r="G633" s="1171"/>
      <c r="H633" s="270">
        <f t="shared" si="162"/>
        <v>0</v>
      </c>
      <c r="I633" s="874">
        <f>F633*G633</f>
        <v>0</v>
      </c>
      <c r="J633" s="874">
        <f>F633*H633</f>
        <v>0</v>
      </c>
      <c r="K633" s="320"/>
    </row>
    <row r="634" spans="1:11" ht="19.899999999999999" customHeight="1">
      <c r="A634" s="346"/>
      <c r="B634" s="346"/>
      <c r="C634" s="347" t="s">
        <v>1272</v>
      </c>
      <c r="D634" s="23" t="s">
        <v>1273</v>
      </c>
      <c r="E634" s="22"/>
      <c r="F634" s="24"/>
      <c r="G634" s="21"/>
      <c r="H634" s="39"/>
      <c r="I634" s="245">
        <f>I635+I638+I645+I653</f>
        <v>0</v>
      </c>
      <c r="J634" s="245">
        <f>J635+J638+J645+J653</f>
        <v>0</v>
      </c>
      <c r="K634" s="26" t="e">
        <f>J634/$J$685</f>
        <v>#DIV/0!</v>
      </c>
    </row>
    <row r="635" spans="1:11" ht="18" customHeight="1" outlineLevel="1">
      <c r="A635" s="881"/>
      <c r="B635" s="882"/>
      <c r="C635" s="883" t="s">
        <v>1274</v>
      </c>
      <c r="D635" s="884" t="s">
        <v>1275</v>
      </c>
      <c r="E635" s="885"/>
      <c r="F635" s="886"/>
      <c r="G635" s="887"/>
      <c r="H635" s="888"/>
      <c r="I635" s="889">
        <f>SUM(I636:I637)</f>
        <v>0</v>
      </c>
      <c r="J635" s="889">
        <f>SUM(J636:J637)</f>
        <v>0</v>
      </c>
      <c r="K635" s="890" t="e">
        <f>J635/$J$685</f>
        <v>#DIV/0!</v>
      </c>
    </row>
    <row r="636" spans="1:11" ht="39" customHeight="1" outlineLevel="2">
      <c r="A636" s="891">
        <v>10777</v>
      </c>
      <c r="B636" s="892" t="s">
        <v>67</v>
      </c>
      <c r="C636" s="891" t="s">
        <v>1276</v>
      </c>
      <c r="D636" s="893" t="s">
        <v>1277</v>
      </c>
      <c r="E636" s="891" t="s">
        <v>61</v>
      </c>
      <c r="F636" s="894">
        <f>'MEMORIAL DE CALCULO'!N2986</f>
        <v>11.965300000000001</v>
      </c>
      <c r="G636" s="1171"/>
      <c r="H636" s="270">
        <f t="shared" ref="H636:H658" si="173">G636*$I$5</f>
        <v>0</v>
      </c>
      <c r="I636" s="895">
        <f>F636*G636</f>
        <v>0</v>
      </c>
      <c r="J636" s="895">
        <f>F636*H636</f>
        <v>0</v>
      </c>
      <c r="K636" s="896"/>
    </row>
    <row r="637" spans="1:11" ht="52.5" customHeight="1" outlineLevel="2">
      <c r="A637" s="296">
        <v>11365</v>
      </c>
      <c r="B637" s="292" t="s">
        <v>67</v>
      </c>
      <c r="C637" s="296" t="s">
        <v>1278</v>
      </c>
      <c r="D637" s="777" t="s">
        <v>1279</v>
      </c>
      <c r="E637" s="296" t="s">
        <v>61</v>
      </c>
      <c r="F637" s="778">
        <f>'MEMORIAL DE CALCULO'!N2995</f>
        <v>7.4340000000000002</v>
      </c>
      <c r="G637" s="1171"/>
      <c r="H637" s="270">
        <f t="shared" si="173"/>
        <v>0</v>
      </c>
      <c r="I637" s="293">
        <f>F637*G637</f>
        <v>0</v>
      </c>
      <c r="J637" s="293">
        <f>F637*H637</f>
        <v>0</v>
      </c>
      <c r="K637" s="297"/>
    </row>
    <row r="638" spans="1:11" ht="18" customHeight="1" outlineLevel="1">
      <c r="A638" s="569"/>
      <c r="B638" s="570"/>
      <c r="C638" s="571" t="s">
        <v>1280</v>
      </c>
      <c r="D638" s="558" t="s">
        <v>1281</v>
      </c>
      <c r="E638" s="559"/>
      <c r="F638" s="575"/>
      <c r="G638" s="577"/>
      <c r="H638" s="576"/>
      <c r="I638" s="572">
        <f>SUM(I639:I644)</f>
        <v>0</v>
      </c>
      <c r="J638" s="572">
        <f>SUM(J639:J644)</f>
        <v>0</v>
      </c>
      <c r="K638" s="562" t="e">
        <f>J638/$J$685</f>
        <v>#DIV/0!</v>
      </c>
    </row>
    <row r="639" spans="1:11" ht="42" customHeight="1" outlineLevel="2">
      <c r="A639" s="246">
        <v>4629</v>
      </c>
      <c r="B639" s="247" t="s">
        <v>67</v>
      </c>
      <c r="C639" s="247" t="s">
        <v>1282</v>
      </c>
      <c r="D639" s="777" t="s">
        <v>1283</v>
      </c>
      <c r="E639" s="296" t="s">
        <v>246</v>
      </c>
      <c r="F639" s="778">
        <f>'MEMORIAL DE CALCULO'!J2999</f>
        <v>15.400000000000002</v>
      </c>
      <c r="G639" s="1171"/>
      <c r="H639" s="270">
        <f t="shared" si="173"/>
        <v>0</v>
      </c>
      <c r="I639" s="874">
        <f t="shared" ref="I639:I644" si="174">F639*G639</f>
        <v>0</v>
      </c>
      <c r="J639" s="874">
        <f t="shared" ref="J639:J644" si="175">F639*H639</f>
        <v>0</v>
      </c>
      <c r="K639" s="562"/>
    </row>
    <row r="640" spans="1:11" customFormat="1" ht="49.5" customHeight="1" outlineLevel="2">
      <c r="A640" s="246">
        <v>12627</v>
      </c>
      <c r="B640" s="246" t="s">
        <v>67</v>
      </c>
      <c r="C640" s="246" t="s">
        <v>1284</v>
      </c>
      <c r="D640" s="779" t="s">
        <v>1285</v>
      </c>
      <c r="E640" s="775" t="s">
        <v>55</v>
      </c>
      <c r="F640" s="776">
        <f>'MEMORIAL DE CALCULO'!H3001</f>
        <v>3</v>
      </c>
      <c r="G640" s="1171"/>
      <c r="H640" s="270">
        <f t="shared" si="173"/>
        <v>0</v>
      </c>
      <c r="I640" s="270">
        <f t="shared" si="174"/>
        <v>0</v>
      </c>
      <c r="J640" s="270">
        <f t="shared" si="175"/>
        <v>0</v>
      </c>
      <c r="K640" s="32"/>
    </row>
    <row r="641" spans="1:11" customFormat="1" ht="25.9" customHeight="1" outlineLevel="2">
      <c r="A641" s="246">
        <v>2437</v>
      </c>
      <c r="B641" s="247" t="s">
        <v>67</v>
      </c>
      <c r="C641" s="247" t="s">
        <v>1286</v>
      </c>
      <c r="D641" s="774" t="s">
        <v>1287</v>
      </c>
      <c r="E641" s="775" t="s">
        <v>55</v>
      </c>
      <c r="F641" s="776">
        <f>'MEMORIAL DE CALCULO'!H3003</f>
        <v>1</v>
      </c>
      <c r="G641" s="1171"/>
      <c r="H641" s="270">
        <f t="shared" si="173"/>
        <v>0</v>
      </c>
      <c r="I641" s="874">
        <f t="shared" si="174"/>
        <v>0</v>
      </c>
      <c r="J641" s="874">
        <f t="shared" si="175"/>
        <v>0</v>
      </c>
      <c r="K641" s="32"/>
    </row>
    <row r="642" spans="1:11" customFormat="1" ht="42.75" outlineLevel="2">
      <c r="A642" s="246">
        <v>8539</v>
      </c>
      <c r="B642" s="247" t="s">
        <v>67</v>
      </c>
      <c r="C642" s="247" t="s">
        <v>1288</v>
      </c>
      <c r="D642" s="774" t="s">
        <v>1289</v>
      </c>
      <c r="E642" s="775" t="s">
        <v>246</v>
      </c>
      <c r="F642" s="776">
        <f>'MEMORIAL DE CALCULO'!J3005</f>
        <v>8.7763999999999989</v>
      </c>
      <c r="G642" s="1171"/>
      <c r="H642" s="270">
        <f t="shared" si="173"/>
        <v>0</v>
      </c>
      <c r="I642" s="874">
        <f t="shared" si="174"/>
        <v>0</v>
      </c>
      <c r="J642" s="874">
        <f t="shared" si="175"/>
        <v>0</v>
      </c>
      <c r="K642" s="32"/>
    </row>
    <row r="643" spans="1:11" customFormat="1" ht="28.5" outlineLevel="2">
      <c r="A643" s="246">
        <v>1939</v>
      </c>
      <c r="B643" s="247" t="s">
        <v>67</v>
      </c>
      <c r="C643" s="247" t="s">
        <v>1290</v>
      </c>
      <c r="D643" s="774" t="s">
        <v>1291</v>
      </c>
      <c r="E643" s="775" t="s">
        <v>61</v>
      </c>
      <c r="F643" s="776">
        <f>'MEMORIAL DE CALCULO'!N3008</f>
        <v>9.2025000000000006</v>
      </c>
      <c r="G643" s="1171"/>
      <c r="H643" s="270">
        <f t="shared" si="173"/>
        <v>0</v>
      </c>
      <c r="I643" s="874">
        <f t="shared" si="174"/>
        <v>0</v>
      </c>
      <c r="J643" s="874">
        <f t="shared" si="175"/>
        <v>0</v>
      </c>
      <c r="K643" s="319"/>
    </row>
    <row r="644" spans="1:11" customFormat="1" ht="42.75" outlineLevel="2">
      <c r="A644" s="246" t="s">
        <v>1292</v>
      </c>
      <c r="B644" s="247"/>
      <c r="C644" s="247" t="s">
        <v>1293</v>
      </c>
      <c r="D644" s="774" t="s">
        <v>1294</v>
      </c>
      <c r="E644" s="775" t="s">
        <v>55</v>
      </c>
      <c r="F644" s="776">
        <f>'MEMORIAL DE CALCULO'!H3011</f>
        <v>1</v>
      </c>
      <c r="G644" s="1171"/>
      <c r="H644" s="270">
        <f t="shared" si="173"/>
        <v>0</v>
      </c>
      <c r="I644" s="874">
        <f t="shared" si="174"/>
        <v>0</v>
      </c>
      <c r="J644" s="874">
        <f t="shared" si="175"/>
        <v>0</v>
      </c>
      <c r="K644" s="319"/>
    </row>
    <row r="645" spans="1:11" ht="18" customHeight="1" outlineLevel="1">
      <c r="A645" s="246"/>
      <c r="B645" s="247"/>
      <c r="C645" s="249" t="s">
        <v>1295</v>
      </c>
      <c r="D645" s="29" t="s">
        <v>1296</v>
      </c>
      <c r="E645" s="984"/>
      <c r="F645" s="30"/>
      <c r="G645" s="56"/>
      <c r="H645" s="46"/>
      <c r="I645" s="250">
        <f>SUM(I646:I652)</f>
        <v>0</v>
      </c>
      <c r="J645" s="250">
        <f>SUM(J646:J652)</f>
        <v>0</v>
      </c>
      <c r="K645" s="32" t="e">
        <f>J645/$J$685</f>
        <v>#DIV/0!</v>
      </c>
    </row>
    <row r="646" spans="1:11" ht="35.25" customHeight="1" outlineLevel="2">
      <c r="A646" s="246">
        <v>13113</v>
      </c>
      <c r="B646" s="247" t="s">
        <v>67</v>
      </c>
      <c r="C646" s="247" t="s">
        <v>1297</v>
      </c>
      <c r="D646" s="774" t="s">
        <v>1298</v>
      </c>
      <c r="E646" s="775" t="s">
        <v>55</v>
      </c>
      <c r="F646" s="776">
        <f>'MEMORIAL DE CALCULO'!H3014</f>
        <v>2</v>
      </c>
      <c r="G646" s="1171"/>
      <c r="H646" s="270">
        <f t="shared" si="173"/>
        <v>0</v>
      </c>
      <c r="I646" s="874">
        <f t="shared" ref="I646:I652" si="176">F646*G646</f>
        <v>0</v>
      </c>
      <c r="J646" s="874">
        <f t="shared" ref="J646:J652" si="177">F646*H646</f>
        <v>0</v>
      </c>
      <c r="K646" s="566"/>
    </row>
    <row r="647" spans="1:11" ht="33" customHeight="1" outlineLevel="2">
      <c r="A647" s="246">
        <v>13112</v>
      </c>
      <c r="B647" s="247" t="s">
        <v>67</v>
      </c>
      <c r="C647" s="247" t="s">
        <v>1299</v>
      </c>
      <c r="D647" s="774" t="s">
        <v>1300</v>
      </c>
      <c r="E647" s="775" t="s">
        <v>55</v>
      </c>
      <c r="F647" s="776">
        <f>'MEMORIAL DE CALCULO'!H3017</f>
        <v>2</v>
      </c>
      <c r="G647" s="1171"/>
      <c r="H647" s="270">
        <f t="shared" si="173"/>
        <v>0</v>
      </c>
      <c r="I647" s="874">
        <f t="shared" si="176"/>
        <v>0</v>
      </c>
      <c r="J647" s="874">
        <f t="shared" si="177"/>
        <v>0</v>
      </c>
      <c r="K647" s="244"/>
    </row>
    <row r="648" spans="1:11" ht="31.9" customHeight="1" outlineLevel="2">
      <c r="A648" s="246">
        <v>13110</v>
      </c>
      <c r="B648" s="247" t="s">
        <v>67</v>
      </c>
      <c r="C648" s="247" t="s">
        <v>1301</v>
      </c>
      <c r="D648" s="774" t="s">
        <v>1302</v>
      </c>
      <c r="E648" s="775" t="s">
        <v>55</v>
      </c>
      <c r="F648" s="776">
        <f>'MEMORIAL DE CALCULO'!H3020</f>
        <v>4</v>
      </c>
      <c r="G648" s="1171"/>
      <c r="H648" s="270">
        <f t="shared" si="173"/>
        <v>0</v>
      </c>
      <c r="I648" s="874">
        <f t="shared" si="176"/>
        <v>0</v>
      </c>
      <c r="J648" s="874">
        <f t="shared" si="177"/>
        <v>0</v>
      </c>
      <c r="K648" s="244"/>
    </row>
    <row r="649" spans="1:11" customFormat="1" ht="57" outlineLevel="2">
      <c r="A649" s="246">
        <v>12385</v>
      </c>
      <c r="B649" s="246" t="s">
        <v>67</v>
      </c>
      <c r="C649" s="247" t="s">
        <v>1303</v>
      </c>
      <c r="D649" s="774" t="s">
        <v>1304</v>
      </c>
      <c r="E649" s="775" t="s">
        <v>246</v>
      </c>
      <c r="F649" s="776">
        <f>'MEMORIAL DE CALCULO'!J3023</f>
        <v>96.621200000000002</v>
      </c>
      <c r="G649" s="1171"/>
      <c r="H649" s="270">
        <f t="shared" si="173"/>
        <v>0</v>
      </c>
      <c r="I649" s="270">
        <f t="shared" si="176"/>
        <v>0</v>
      </c>
      <c r="J649" s="270">
        <f t="shared" si="177"/>
        <v>0</v>
      </c>
      <c r="K649" s="244"/>
    </row>
    <row r="650" spans="1:11" ht="28.5" outlineLevel="2">
      <c r="A650" s="246">
        <v>104658</v>
      </c>
      <c r="B650" s="247" t="s">
        <v>26</v>
      </c>
      <c r="C650" s="247" t="s">
        <v>1305</v>
      </c>
      <c r="D650" s="774" t="s">
        <v>1306</v>
      </c>
      <c r="E650" s="775" t="s">
        <v>61</v>
      </c>
      <c r="F650" s="776">
        <f>'MEMORIAL DE CALCULO'!N3027</f>
        <v>28.619999999999997</v>
      </c>
      <c r="G650" s="1171"/>
      <c r="H650" s="270">
        <f t="shared" si="173"/>
        <v>0</v>
      </c>
      <c r="I650" s="874">
        <f t="shared" ref="I650:I651" si="178">F650*G650</f>
        <v>0</v>
      </c>
      <c r="J650" s="874">
        <f t="shared" ref="J650:J651" si="179">F650*H650</f>
        <v>0</v>
      </c>
      <c r="K650" s="32"/>
    </row>
    <row r="651" spans="1:11" ht="28.5" outlineLevel="2">
      <c r="A651" s="246">
        <v>101094</v>
      </c>
      <c r="B651" s="247" t="s">
        <v>26</v>
      </c>
      <c r="C651" s="247" t="s">
        <v>1307</v>
      </c>
      <c r="D651" s="774" t="s">
        <v>1308</v>
      </c>
      <c r="E651" s="775" t="s">
        <v>246</v>
      </c>
      <c r="F651" s="776">
        <f>'MEMORIAL DE CALCULO'!L3030</f>
        <v>62.7</v>
      </c>
      <c r="G651" s="1171"/>
      <c r="H651" s="270">
        <f t="shared" si="173"/>
        <v>0</v>
      </c>
      <c r="I651" s="874">
        <f t="shared" si="178"/>
        <v>0</v>
      </c>
      <c r="J651" s="874">
        <f t="shared" si="179"/>
        <v>0</v>
      </c>
      <c r="K651" s="32"/>
    </row>
    <row r="652" spans="1:11" customFormat="1" ht="25.15" customHeight="1" outlineLevel="2">
      <c r="A652" s="246">
        <v>2228</v>
      </c>
      <c r="B652" s="247" t="s">
        <v>67</v>
      </c>
      <c r="C652" s="247" t="s">
        <v>1309</v>
      </c>
      <c r="D652" s="774" t="s">
        <v>1310</v>
      </c>
      <c r="E652" s="775" t="s">
        <v>246</v>
      </c>
      <c r="F652" s="776">
        <f>'MEMORIAL DE CALCULO'!J3033</f>
        <v>70</v>
      </c>
      <c r="G652" s="1171"/>
      <c r="H652" s="270">
        <f t="shared" si="173"/>
        <v>0</v>
      </c>
      <c r="I652" s="874">
        <f t="shared" si="176"/>
        <v>0</v>
      </c>
      <c r="J652" s="874">
        <f t="shared" si="177"/>
        <v>0</v>
      </c>
      <c r="K652" s="320"/>
    </row>
    <row r="653" spans="1:11" ht="18" customHeight="1" outlineLevel="1">
      <c r="A653" s="246"/>
      <c r="B653" s="247"/>
      <c r="C653" s="249" t="s">
        <v>1311</v>
      </c>
      <c r="D653" s="29" t="s">
        <v>1312</v>
      </c>
      <c r="E653" s="984"/>
      <c r="F653" s="30"/>
      <c r="G653" s="56"/>
      <c r="H653" s="46"/>
      <c r="I653" s="250">
        <f>SUM(I654:I658)</f>
        <v>0</v>
      </c>
      <c r="J653" s="250">
        <f>SUM(J654:J658)</f>
        <v>0</v>
      </c>
      <c r="K653" s="32" t="e">
        <f>J653/$J$685</f>
        <v>#DIV/0!</v>
      </c>
    </row>
    <row r="654" spans="1:11" outlineLevel="2">
      <c r="A654" s="246">
        <v>9718</v>
      </c>
      <c r="B654" s="247" t="s">
        <v>67</v>
      </c>
      <c r="C654" s="246" t="s">
        <v>1313</v>
      </c>
      <c r="D654" s="774" t="s">
        <v>1314</v>
      </c>
      <c r="E654" s="775" t="s">
        <v>61</v>
      </c>
      <c r="F654" s="776">
        <f>'MEMORIAL DE CALCULO'!N3037</f>
        <v>12.82</v>
      </c>
      <c r="G654" s="1171"/>
      <c r="H654" s="270">
        <f t="shared" si="173"/>
        <v>0</v>
      </c>
      <c r="I654" s="874">
        <f>F654*G654</f>
        <v>0</v>
      </c>
      <c r="J654" s="874">
        <f>F654*H654</f>
        <v>0</v>
      </c>
      <c r="K654" s="566"/>
    </row>
    <row r="655" spans="1:11" ht="28.5" outlineLevel="2">
      <c r="A655" s="246">
        <v>12517</v>
      </c>
      <c r="B655" s="247" t="s">
        <v>67</v>
      </c>
      <c r="C655" s="246" t="s">
        <v>1315</v>
      </c>
      <c r="D655" s="774" t="s">
        <v>1316</v>
      </c>
      <c r="E655" s="775" t="s">
        <v>246</v>
      </c>
      <c r="F655" s="776">
        <f>'MEMORIAL DE CALCULO'!L3044</f>
        <v>50.199999999999996</v>
      </c>
      <c r="G655" s="1171"/>
      <c r="H655" s="270">
        <f t="shared" si="173"/>
        <v>0</v>
      </c>
      <c r="I655" s="874">
        <f>F655*G655</f>
        <v>0</v>
      </c>
      <c r="J655" s="874">
        <f>F655*H655</f>
        <v>0</v>
      </c>
      <c r="K655" s="566"/>
    </row>
    <row r="656" spans="1:11" customFormat="1" ht="24.75" customHeight="1" outlineLevel="2">
      <c r="A656" s="246">
        <v>12511</v>
      </c>
      <c r="B656" s="247" t="s">
        <v>67</v>
      </c>
      <c r="C656" s="246" t="s">
        <v>1317</v>
      </c>
      <c r="D656" s="774" t="str">
        <f>UPPER("Dispenser, em plástico, para papel higiênico em rolo")</f>
        <v>DISPENSER, EM PLÁSTICO, PARA PAPEL HIGIÊNICO EM ROLO</v>
      </c>
      <c r="E656" s="775" t="s">
        <v>55</v>
      </c>
      <c r="F656" s="776">
        <f>'MEMORIAL DE CALCULO'!H3051</f>
        <v>14</v>
      </c>
      <c r="G656" s="1171"/>
      <c r="H656" s="270">
        <f t="shared" si="173"/>
        <v>0</v>
      </c>
      <c r="I656" s="874">
        <f>F656*G656</f>
        <v>0</v>
      </c>
      <c r="J656" s="874">
        <f>F656*H656</f>
        <v>0</v>
      </c>
      <c r="K656" s="244"/>
    </row>
    <row r="657" spans="1:11" customFormat="1" ht="25.9" customHeight="1" outlineLevel="2">
      <c r="A657" s="246">
        <v>4286</v>
      </c>
      <c r="B657" s="247" t="s">
        <v>67</v>
      </c>
      <c r="C657" s="246" t="s">
        <v>1318</v>
      </c>
      <c r="D657" s="774" t="s">
        <v>1319</v>
      </c>
      <c r="E657" s="775" t="s">
        <v>55</v>
      </c>
      <c r="F657" s="776">
        <f>'MEMORIAL DE CALCULO'!H3058</f>
        <v>12</v>
      </c>
      <c r="G657" s="1171"/>
      <c r="H657" s="270">
        <f t="shared" si="173"/>
        <v>0</v>
      </c>
      <c r="I657" s="874">
        <f>F657*G657</f>
        <v>0</v>
      </c>
      <c r="J657" s="874">
        <f>F657*H657</f>
        <v>0</v>
      </c>
      <c r="K657" s="244"/>
    </row>
    <row r="658" spans="1:11" customFormat="1" ht="22.15" customHeight="1" outlineLevel="2">
      <c r="A658" s="246">
        <v>4287</v>
      </c>
      <c r="B658" s="247" t="s">
        <v>67</v>
      </c>
      <c r="C658" s="246" t="s">
        <v>1320</v>
      </c>
      <c r="D658" s="774" t="s">
        <v>1321</v>
      </c>
      <c r="E658" s="775" t="s">
        <v>55</v>
      </c>
      <c r="F658" s="776">
        <f>'MEMORIAL DE CALCULO'!H3065</f>
        <v>12</v>
      </c>
      <c r="G658" s="1171"/>
      <c r="H658" s="270">
        <f t="shared" si="173"/>
        <v>0</v>
      </c>
      <c r="I658" s="874">
        <f>F658*G658</f>
        <v>0</v>
      </c>
      <c r="J658" s="874">
        <f>F658*H658</f>
        <v>0</v>
      </c>
      <c r="K658" s="320"/>
    </row>
    <row r="659" spans="1:11" ht="19.899999999999999" customHeight="1">
      <c r="A659" s="346"/>
      <c r="B659" s="346"/>
      <c r="C659" s="347" t="s">
        <v>1322</v>
      </c>
      <c r="D659" s="23" t="s">
        <v>1323</v>
      </c>
      <c r="E659" s="22"/>
      <c r="F659" s="24"/>
      <c r="G659" s="21"/>
      <c r="H659" s="39"/>
      <c r="I659" s="245">
        <f>I660+I671+I681</f>
        <v>0</v>
      </c>
      <c r="J659" s="245">
        <f>J660+J671+J681</f>
        <v>0</v>
      </c>
      <c r="K659" s="26" t="e">
        <f>J659/$J$685</f>
        <v>#DIV/0!</v>
      </c>
    </row>
    <row r="660" spans="1:11" ht="18" customHeight="1" outlineLevel="1">
      <c r="A660" s="904"/>
      <c r="B660" s="905"/>
      <c r="C660" s="906" t="s">
        <v>1324</v>
      </c>
      <c r="D660" s="907" t="s">
        <v>1325</v>
      </c>
      <c r="E660" s="908"/>
      <c r="F660" s="909"/>
      <c r="G660" s="910"/>
      <c r="H660" s="911"/>
      <c r="I660" s="912">
        <f>SUM(I661:I670)</f>
        <v>0</v>
      </c>
      <c r="J660" s="912">
        <f>SUM(J661:J670)</f>
        <v>0</v>
      </c>
      <c r="K660" s="913" t="e">
        <f>J660/$J$685</f>
        <v>#DIV/0!</v>
      </c>
    </row>
    <row r="661" spans="1:11" ht="26.25" customHeight="1" outlineLevel="2">
      <c r="A661" s="353">
        <v>10234</v>
      </c>
      <c r="B661" s="348" t="s">
        <v>67</v>
      </c>
      <c r="C661" s="353" t="s">
        <v>1326</v>
      </c>
      <c r="D661" s="774" t="s">
        <v>1327</v>
      </c>
      <c r="E661" s="775" t="s">
        <v>61</v>
      </c>
      <c r="F661" s="776">
        <f>'MEMORIAL DE CALCULO'!N3075</f>
        <v>479.33</v>
      </c>
      <c r="G661" s="1171"/>
      <c r="H661" s="270">
        <f t="shared" ref="H661:H682" si="180">G661*$I$5</f>
        <v>0</v>
      </c>
      <c r="I661" s="358">
        <f t="shared" ref="I661:I669" si="181">F661*G661</f>
        <v>0</v>
      </c>
      <c r="J661" s="358">
        <f t="shared" ref="J661:J669" si="182">F661*H661</f>
        <v>0</v>
      </c>
      <c r="K661" s="363"/>
    </row>
    <row r="662" spans="1:11" ht="20.45" customHeight="1" outlineLevel="2">
      <c r="A662" s="353">
        <v>9031</v>
      </c>
      <c r="B662" s="348" t="s">
        <v>67</v>
      </c>
      <c r="C662" s="353" t="s">
        <v>1328</v>
      </c>
      <c r="D662" s="774" t="s">
        <v>1329</v>
      </c>
      <c r="E662" s="775" t="s">
        <v>109</v>
      </c>
      <c r="F662" s="776">
        <f>'MEMORIAL DE CALCULO'!O3077</f>
        <v>5.1440000000000001</v>
      </c>
      <c r="G662" s="1171"/>
      <c r="H662" s="270">
        <f t="shared" si="180"/>
        <v>0</v>
      </c>
      <c r="I662" s="358">
        <f t="shared" si="181"/>
        <v>0</v>
      </c>
      <c r="J662" s="358">
        <f t="shared" si="182"/>
        <v>0</v>
      </c>
      <c r="K662" s="363"/>
    </row>
    <row r="663" spans="1:11" ht="29.25" customHeight="1" outlineLevel="2">
      <c r="A663" s="353">
        <v>7669</v>
      </c>
      <c r="B663" s="348" t="s">
        <v>67</v>
      </c>
      <c r="C663" s="353" t="s">
        <v>1330</v>
      </c>
      <c r="D663" s="774" t="s">
        <v>1331</v>
      </c>
      <c r="E663" s="775" t="s">
        <v>55</v>
      </c>
      <c r="F663" s="776">
        <f>'MEMORIAL DE CALCULO'!H3079</f>
        <v>18</v>
      </c>
      <c r="G663" s="1171"/>
      <c r="H663" s="270">
        <f t="shared" si="180"/>
        <v>0</v>
      </c>
      <c r="I663" s="358">
        <f t="shared" si="181"/>
        <v>0</v>
      </c>
      <c r="J663" s="358">
        <f t="shared" si="182"/>
        <v>0</v>
      </c>
      <c r="K663" s="363"/>
    </row>
    <row r="664" spans="1:11" outlineLevel="2">
      <c r="A664" s="353">
        <v>7669</v>
      </c>
      <c r="B664" s="348" t="s">
        <v>67</v>
      </c>
      <c r="C664" s="353" t="s">
        <v>1332</v>
      </c>
      <c r="D664" s="774" t="s">
        <v>1331</v>
      </c>
      <c r="E664" s="775" t="s">
        <v>55</v>
      </c>
      <c r="F664" s="776">
        <f>'MEMORIAL DE CALCULO'!H3081</f>
        <v>81</v>
      </c>
      <c r="G664" s="1171"/>
      <c r="H664" s="270">
        <f t="shared" si="180"/>
        <v>0</v>
      </c>
      <c r="I664" s="358">
        <f t="shared" si="181"/>
        <v>0</v>
      </c>
      <c r="J664" s="358">
        <f t="shared" si="182"/>
        <v>0</v>
      </c>
      <c r="K664" s="363"/>
    </row>
    <row r="665" spans="1:11" ht="28.5" outlineLevel="2">
      <c r="A665" s="353">
        <v>8851</v>
      </c>
      <c r="B665" s="348" t="s">
        <v>67</v>
      </c>
      <c r="C665" s="353" t="s">
        <v>1333</v>
      </c>
      <c r="D665" s="774" t="s">
        <v>1334</v>
      </c>
      <c r="E665" s="775" t="s">
        <v>55</v>
      </c>
      <c r="F665" s="776">
        <f>'MEMORIAL DE CALCULO'!H3084</f>
        <v>7</v>
      </c>
      <c r="G665" s="1171"/>
      <c r="H665" s="270">
        <f t="shared" si="180"/>
        <v>0</v>
      </c>
      <c r="I665" s="358">
        <f t="shared" si="181"/>
        <v>0</v>
      </c>
      <c r="J665" s="358">
        <f t="shared" si="182"/>
        <v>0</v>
      </c>
      <c r="K665" s="363"/>
    </row>
    <row r="666" spans="1:11" ht="29.25" customHeight="1" outlineLevel="2">
      <c r="A666" s="353">
        <v>8761</v>
      </c>
      <c r="B666" s="348" t="s">
        <v>67</v>
      </c>
      <c r="C666" s="353" t="s">
        <v>1335</v>
      </c>
      <c r="D666" s="774" t="str">
        <f>UPPER("Planta - Samambaia c/1,00m, fornecimento e plantio")</f>
        <v>PLANTA - SAMAMBAIA C/1,00M, FORNECIMENTO E PLANTIO</v>
      </c>
      <c r="E666" s="775" t="s">
        <v>55</v>
      </c>
      <c r="F666" s="776">
        <f>'MEMORIAL DE CALCULO'!H3086</f>
        <v>50</v>
      </c>
      <c r="G666" s="1171"/>
      <c r="H666" s="270">
        <f t="shared" si="180"/>
        <v>0</v>
      </c>
      <c r="I666" s="358">
        <f t="shared" si="181"/>
        <v>0</v>
      </c>
      <c r="J666" s="358">
        <f t="shared" si="182"/>
        <v>0</v>
      </c>
      <c r="K666" s="363"/>
    </row>
    <row r="667" spans="1:11" ht="27.75" customHeight="1" outlineLevel="2">
      <c r="A667" s="353">
        <v>8814</v>
      </c>
      <c r="B667" s="348" t="s">
        <v>67</v>
      </c>
      <c r="C667" s="353" t="s">
        <v>1336</v>
      </c>
      <c r="D667" s="774" t="s">
        <v>1337</v>
      </c>
      <c r="E667" s="775" t="s">
        <v>55</v>
      </c>
      <c r="F667" s="776">
        <f>'MEMORIAL DE CALCULO'!H3089</f>
        <v>6</v>
      </c>
      <c r="G667" s="1171"/>
      <c r="H667" s="270">
        <f t="shared" si="180"/>
        <v>0</v>
      </c>
      <c r="I667" s="358">
        <f t="shared" si="181"/>
        <v>0</v>
      </c>
      <c r="J667" s="358">
        <f t="shared" si="182"/>
        <v>0</v>
      </c>
      <c r="K667" s="363"/>
    </row>
    <row r="668" spans="1:11" ht="27.75" customHeight="1" outlineLevel="2">
      <c r="A668" s="353">
        <v>7669</v>
      </c>
      <c r="B668" s="348" t="s">
        <v>67</v>
      </c>
      <c r="C668" s="353" t="s">
        <v>1338</v>
      </c>
      <c r="D668" s="774" t="s">
        <v>1339</v>
      </c>
      <c r="E668" s="775" t="s">
        <v>55</v>
      </c>
      <c r="F668" s="776">
        <f>'MEMORIAL DE CALCULO'!H3091</f>
        <v>20</v>
      </c>
      <c r="G668" s="1171"/>
      <c r="H668" s="270">
        <f t="shared" si="180"/>
        <v>0</v>
      </c>
      <c r="I668" s="358">
        <f t="shared" ref="I668" si="183">F668*G668</f>
        <v>0</v>
      </c>
      <c r="J668" s="358">
        <f t="shared" ref="J668" si="184">F668*H668</f>
        <v>0</v>
      </c>
      <c r="K668" s="363"/>
    </row>
    <row r="669" spans="1:11" ht="30" customHeight="1" outlineLevel="2">
      <c r="A669" s="353">
        <v>2394</v>
      </c>
      <c r="B669" s="348" t="s">
        <v>67</v>
      </c>
      <c r="C669" s="353" t="s">
        <v>1340</v>
      </c>
      <c r="D669" s="774" t="s">
        <v>1341</v>
      </c>
      <c r="E669" s="775" t="s">
        <v>109</v>
      </c>
      <c r="F669" s="776">
        <f>'MEMORIAL DE CALCULO'!O3093</f>
        <v>90</v>
      </c>
      <c r="G669" s="1171"/>
      <c r="H669" s="270">
        <f t="shared" si="180"/>
        <v>0</v>
      </c>
      <c r="I669" s="358">
        <f t="shared" si="181"/>
        <v>0</v>
      </c>
      <c r="J669" s="358">
        <f t="shared" si="182"/>
        <v>0</v>
      </c>
      <c r="K669" s="363"/>
    </row>
    <row r="670" spans="1:11" ht="30" customHeight="1" outlineLevel="2">
      <c r="A670" s="353">
        <v>7657</v>
      </c>
      <c r="B670" s="348" t="s">
        <v>67</v>
      </c>
      <c r="C670" s="353" t="s">
        <v>1342</v>
      </c>
      <c r="D670" s="774" t="s">
        <v>1343</v>
      </c>
      <c r="E670" s="775" t="s">
        <v>246</v>
      </c>
      <c r="F670" s="776">
        <f>'MEMORIAL DE CALCULO'!L3095</f>
        <v>27.37</v>
      </c>
      <c r="G670" s="1171"/>
      <c r="H670" s="270">
        <f t="shared" si="180"/>
        <v>0</v>
      </c>
      <c r="I670" s="358">
        <f t="shared" ref="I670" si="185">F670*G670</f>
        <v>0</v>
      </c>
      <c r="J670" s="358">
        <f t="shared" ref="J670" si="186">F670*H670</f>
        <v>0</v>
      </c>
      <c r="K670" s="363"/>
    </row>
    <row r="671" spans="1:11" ht="18" customHeight="1" outlineLevel="1">
      <c r="A671" s="904"/>
      <c r="B671" s="905"/>
      <c r="C671" s="906" t="s">
        <v>1344</v>
      </c>
      <c r="D671" s="907" t="s">
        <v>1345</v>
      </c>
      <c r="E671" s="908"/>
      <c r="F671" s="909"/>
      <c r="G671" s="910"/>
      <c r="H671" s="911"/>
      <c r="I671" s="912">
        <f>SUM(I672:I680)</f>
        <v>0</v>
      </c>
      <c r="J671" s="912">
        <f>SUM(J672:J680)</f>
        <v>0</v>
      </c>
      <c r="K671" s="913" t="e">
        <f>J671/$J$685</f>
        <v>#DIV/0!</v>
      </c>
    </row>
    <row r="672" spans="1:11" ht="18" customHeight="1" outlineLevel="2">
      <c r="A672" s="353" t="str">
        <f>'COTAÇÃO SINALIZAÇÃO'!A1:F1</f>
        <v>MERC03/01</v>
      </c>
      <c r="B672" s="353"/>
      <c r="C672" s="353" t="s">
        <v>1346</v>
      </c>
      <c r="D672" s="770" t="s">
        <v>1347</v>
      </c>
      <c r="E672" s="758" t="s">
        <v>55</v>
      </c>
      <c r="F672" s="771">
        <v>1</v>
      </c>
      <c r="G672" s="1171"/>
      <c r="H672" s="270">
        <f t="shared" si="180"/>
        <v>0</v>
      </c>
      <c r="I672" s="362">
        <f t="shared" ref="I672:I680" si="187">F672*G672</f>
        <v>0</v>
      </c>
      <c r="J672" s="360">
        <f t="shared" ref="J672:J680" si="188">F672*H672</f>
        <v>0</v>
      </c>
      <c r="K672" s="365"/>
    </row>
    <row r="673" spans="1:11" ht="18" customHeight="1" outlineLevel="2">
      <c r="A673" s="353" t="str">
        <f>'COTAÇÃO SINALIZAÇÃO'!A8:F8</f>
        <v>MERC03/02</v>
      </c>
      <c r="B673" s="353"/>
      <c r="C673" s="353" t="s">
        <v>1348</v>
      </c>
      <c r="D673" s="327" t="s">
        <v>1349</v>
      </c>
      <c r="E673" s="366" t="s">
        <v>55</v>
      </c>
      <c r="F673" s="360">
        <v>1</v>
      </c>
      <c r="G673" s="1171"/>
      <c r="H673" s="270">
        <f t="shared" si="180"/>
        <v>0</v>
      </c>
      <c r="I673" s="362">
        <f t="shared" si="187"/>
        <v>0</v>
      </c>
      <c r="J673" s="360">
        <f t="shared" si="188"/>
        <v>0</v>
      </c>
      <c r="K673" s="365"/>
    </row>
    <row r="674" spans="1:11" ht="18" customHeight="1" outlineLevel="2">
      <c r="A674" s="364" t="str">
        <f>'COTAÇÃO SINALIZAÇÃO'!A15:F15</f>
        <v>MERC03/03</v>
      </c>
      <c r="B674" s="364"/>
      <c r="C674" s="353" t="s">
        <v>1350</v>
      </c>
      <c r="D674" s="985" t="s">
        <v>1351</v>
      </c>
      <c r="E674" s="366" t="s">
        <v>246</v>
      </c>
      <c r="F674" s="360">
        <v>7</v>
      </c>
      <c r="G674" s="1171"/>
      <c r="H674" s="270">
        <f t="shared" si="180"/>
        <v>0</v>
      </c>
      <c r="I674" s="362">
        <f t="shared" si="187"/>
        <v>0</v>
      </c>
      <c r="J674" s="360">
        <f t="shared" si="188"/>
        <v>0</v>
      </c>
      <c r="K674" s="365"/>
    </row>
    <row r="675" spans="1:11" ht="18" customHeight="1" outlineLevel="2">
      <c r="A675" s="353" t="str">
        <f>'COTAÇÃO SINALIZAÇÃO'!A22:F22</f>
        <v>MERC03/04</v>
      </c>
      <c r="B675" s="353"/>
      <c r="C675" s="353" t="s">
        <v>1352</v>
      </c>
      <c r="D675" s="772" t="s">
        <v>1353</v>
      </c>
      <c r="E675" s="366" t="s">
        <v>246</v>
      </c>
      <c r="F675" s="360">
        <v>2</v>
      </c>
      <c r="G675" s="1171"/>
      <c r="H675" s="270">
        <f t="shared" si="180"/>
        <v>0</v>
      </c>
      <c r="I675" s="362">
        <f t="shared" si="187"/>
        <v>0</v>
      </c>
      <c r="J675" s="360">
        <f t="shared" si="188"/>
        <v>0</v>
      </c>
      <c r="K675" s="365"/>
    </row>
    <row r="676" spans="1:11" ht="18" customHeight="1" outlineLevel="2">
      <c r="A676" s="353" t="str">
        <f>'COTAÇÃO SINALIZAÇÃO'!A29:F29</f>
        <v>MERC03/05</v>
      </c>
      <c r="B676" s="353"/>
      <c r="C676" s="353" t="s">
        <v>1354</v>
      </c>
      <c r="D676" s="770" t="s">
        <v>1355</v>
      </c>
      <c r="E676" s="366" t="s">
        <v>61</v>
      </c>
      <c r="F676" s="360">
        <v>3.44</v>
      </c>
      <c r="G676" s="1171"/>
      <c r="H676" s="270">
        <f t="shared" si="180"/>
        <v>0</v>
      </c>
      <c r="I676" s="362">
        <f t="shared" si="187"/>
        <v>0</v>
      </c>
      <c r="J676" s="360">
        <f t="shared" si="188"/>
        <v>0</v>
      </c>
      <c r="K676" s="365"/>
    </row>
    <row r="677" spans="1:11" ht="18" customHeight="1" outlineLevel="2">
      <c r="A677" s="353" t="str">
        <f>'COTAÇÃO SINALIZAÇÃO'!A36:F36</f>
        <v>MERC03/06</v>
      </c>
      <c r="B677" s="353"/>
      <c r="C677" s="353" t="s">
        <v>1356</v>
      </c>
      <c r="D677" s="770" t="s">
        <v>1357</v>
      </c>
      <c r="E677" s="366" t="s">
        <v>55</v>
      </c>
      <c r="F677" s="360">
        <v>1</v>
      </c>
      <c r="G677" s="1171"/>
      <c r="H677" s="270">
        <f t="shared" si="180"/>
        <v>0</v>
      </c>
      <c r="I677" s="362">
        <f t="shared" si="187"/>
        <v>0</v>
      </c>
      <c r="J677" s="360">
        <f t="shared" si="188"/>
        <v>0</v>
      </c>
      <c r="K677" s="365"/>
    </row>
    <row r="678" spans="1:11" ht="18" customHeight="1" outlineLevel="2">
      <c r="A678" s="353" t="str">
        <f>'COTAÇÃO SINALIZAÇÃO'!A43:F43</f>
        <v>MERC03/07</v>
      </c>
      <c r="B678" s="353"/>
      <c r="C678" s="353" t="s">
        <v>1358</v>
      </c>
      <c r="D678" s="770" t="s">
        <v>1359</v>
      </c>
      <c r="E678" s="758" t="s">
        <v>55</v>
      </c>
      <c r="F678" s="773">
        <v>1</v>
      </c>
      <c r="G678" s="1171"/>
      <c r="H678" s="270">
        <f t="shared" si="180"/>
        <v>0</v>
      </c>
      <c r="I678" s="362">
        <f t="shared" si="187"/>
        <v>0</v>
      </c>
      <c r="J678" s="360">
        <f t="shared" si="188"/>
        <v>0</v>
      </c>
      <c r="K678" s="365"/>
    </row>
    <row r="679" spans="1:11" ht="18" customHeight="1" outlineLevel="2">
      <c r="A679" s="353" t="str">
        <f>'COTAÇÃO SINALIZAÇÃO'!A50:F50</f>
        <v>MERC03/08</v>
      </c>
      <c r="B679" s="353"/>
      <c r="C679" s="353" t="s">
        <v>1360</v>
      </c>
      <c r="D679" s="770" t="s">
        <v>1361</v>
      </c>
      <c r="E679" s="758" t="s">
        <v>55</v>
      </c>
      <c r="F679" s="360">
        <v>52</v>
      </c>
      <c r="G679" s="1171"/>
      <c r="H679" s="270">
        <f t="shared" si="180"/>
        <v>0</v>
      </c>
      <c r="I679" s="362">
        <f t="shared" si="187"/>
        <v>0</v>
      </c>
      <c r="J679" s="360">
        <f t="shared" si="188"/>
        <v>0</v>
      </c>
      <c r="K679" s="365"/>
    </row>
    <row r="680" spans="1:11" ht="18" customHeight="1" outlineLevel="2">
      <c r="A680" s="353" t="str">
        <f>'COTAÇÃO SINALIZAÇÃO'!A57:F57</f>
        <v>MERC03/09</v>
      </c>
      <c r="B680" s="353"/>
      <c r="C680" s="353" t="s">
        <v>1362</v>
      </c>
      <c r="D680" s="770" t="s">
        <v>1363</v>
      </c>
      <c r="E680" s="758" t="s">
        <v>55</v>
      </c>
      <c r="F680" s="360">
        <f>'MEMORIAL DE CALCULO'!H3123</f>
        <v>10</v>
      </c>
      <c r="G680" s="1171"/>
      <c r="H680" s="270">
        <f t="shared" si="180"/>
        <v>0</v>
      </c>
      <c r="I680" s="362">
        <f t="shared" si="187"/>
        <v>0</v>
      </c>
      <c r="J680" s="360">
        <f t="shared" si="188"/>
        <v>0</v>
      </c>
      <c r="K680" s="365"/>
    </row>
    <row r="681" spans="1:11" ht="18" customHeight="1" outlineLevel="1">
      <c r="A681" s="904"/>
      <c r="B681" s="905"/>
      <c r="C681" s="906" t="s">
        <v>1364</v>
      </c>
      <c r="D681" s="907" t="s">
        <v>1365</v>
      </c>
      <c r="E681" s="908"/>
      <c r="F681" s="909"/>
      <c r="G681" s="910"/>
      <c r="H681" s="911"/>
      <c r="I681" s="912">
        <f>I682</f>
        <v>0</v>
      </c>
      <c r="J681" s="912">
        <f>J682</f>
        <v>0</v>
      </c>
      <c r="K681" s="913" t="e">
        <f>J681/$J$685</f>
        <v>#DIV/0!</v>
      </c>
    </row>
    <row r="682" spans="1:11" ht="22.9" customHeight="1" outlineLevel="1">
      <c r="A682" s="33">
        <v>2450</v>
      </c>
      <c r="B682" s="34" t="s">
        <v>67</v>
      </c>
      <c r="C682" s="34" t="s">
        <v>1366</v>
      </c>
      <c r="D682" s="769" t="s">
        <v>1367</v>
      </c>
      <c r="E682" s="33" t="s">
        <v>61</v>
      </c>
      <c r="F682" s="753">
        <f>'MEMORIAL DE CALCULO'!N3130</f>
        <v>2935.4</v>
      </c>
      <c r="G682" s="1171"/>
      <c r="H682" s="270">
        <f t="shared" si="180"/>
        <v>0</v>
      </c>
      <c r="I682" s="37">
        <f>F682*G682</f>
        <v>0</v>
      </c>
      <c r="J682" s="37">
        <f>F682*H682</f>
        <v>0</v>
      </c>
      <c r="K682" s="38"/>
    </row>
    <row r="683" spans="1:11" ht="19.899999999999999" customHeight="1">
      <c r="A683" s="367"/>
      <c r="B683" s="58"/>
      <c r="C683" s="59"/>
      <c r="D683" s="987" t="s">
        <v>1368</v>
      </c>
      <c r="E683" s="987"/>
      <c r="F683" s="987"/>
      <c r="G683" s="987"/>
      <c r="H683" s="987"/>
      <c r="I683" s="368">
        <f>I11+I19+I57+I66+I81+I105+I119+I129+I136+I160+I180+I197+I211+I315+I340+I608+I620+I630+I634+I659</f>
        <v>0</v>
      </c>
      <c r="J683" s="368">
        <f>J11+J19+J57+J66+J81+J105+J119+J129+J136+J160+J180+J197+J211+J315+J340+J608+J620+J630+J634+J659</f>
        <v>0</v>
      </c>
      <c r="K683" s="61" t="e">
        <f>K11+K19+K57+K66+K81+K105+K119+K129+K136+K160+K178+K180+K197+K211+K315+K340+K608+K620+K630+K634+K659</f>
        <v>#DIV/0!</v>
      </c>
    </row>
    <row r="684" spans="1:11" ht="15.75" thickBot="1">
      <c r="A684" s="6"/>
      <c r="B684" s="6"/>
      <c r="C684" s="7"/>
      <c r="D684" s="327"/>
      <c r="E684" s="7"/>
      <c r="F684" s="8"/>
      <c r="G684" s="7"/>
      <c r="H684" s="7"/>
      <c r="I684" s="7"/>
      <c r="J684" s="9"/>
    </row>
    <row r="685" spans="1:11" s="13" customFormat="1" ht="15.75">
      <c r="A685" s="62"/>
      <c r="B685" s="62"/>
      <c r="C685" s="63"/>
      <c r="D685" s="64" t="s">
        <v>1369</v>
      </c>
      <c r="E685" s="65"/>
      <c r="F685" s="66"/>
      <c r="G685" s="65"/>
      <c r="H685" s="65"/>
      <c r="I685" s="65"/>
      <c r="J685" s="67">
        <f>J683</f>
        <v>0</v>
      </c>
      <c r="K685" s="68"/>
    </row>
    <row r="686" spans="1:11" s="13" customFormat="1" ht="15.75">
      <c r="A686" s="62"/>
      <c r="B686" s="62"/>
      <c r="C686" s="63"/>
      <c r="D686" s="69" t="s">
        <v>1370</v>
      </c>
      <c r="E686" s="63"/>
      <c r="F686" s="70"/>
      <c r="G686" s="63"/>
      <c r="H686" s="63"/>
      <c r="I686" s="63"/>
      <c r="J686" s="71">
        <f>I683*$H$5</f>
        <v>0</v>
      </c>
      <c r="K686" s="72"/>
    </row>
    <row r="687" spans="1:11" s="13" customFormat="1" ht="15.75">
      <c r="A687" s="62"/>
      <c r="B687" s="62"/>
      <c r="C687" s="63"/>
      <c r="D687" s="73" t="s">
        <v>1371</v>
      </c>
      <c r="E687" s="74"/>
      <c r="F687" s="75"/>
      <c r="G687" s="74"/>
      <c r="H687" s="74"/>
      <c r="I687" s="74"/>
      <c r="J687" s="76">
        <f>I683</f>
        <v>0</v>
      </c>
      <c r="K687" s="77"/>
    </row>
    <row r="688" spans="1:11" ht="15.75" customHeight="1">
      <c r="A688" s="6"/>
      <c r="B688" s="6"/>
      <c r="C688" s="7"/>
      <c r="D688" s="78"/>
      <c r="E688" s="7"/>
      <c r="F688" s="8"/>
      <c r="G688" s="7"/>
      <c r="H688" s="7"/>
      <c r="I688" s="7"/>
      <c r="J688" s="9"/>
    </row>
    <row r="689" spans="1:11" ht="15.75" customHeight="1">
      <c r="A689" s="6"/>
      <c r="B689" s="6"/>
      <c r="C689" s="7"/>
      <c r="D689" s="78"/>
      <c r="E689" s="7"/>
      <c r="F689" s="8"/>
      <c r="G689" s="7"/>
      <c r="H689" s="7"/>
      <c r="I689" s="7"/>
      <c r="J689" s="9"/>
    </row>
    <row r="690" spans="1:11" ht="16.5" customHeight="1">
      <c r="A690" s="6"/>
      <c r="B690" s="6"/>
      <c r="C690" s="7"/>
      <c r="D690" s="988"/>
      <c r="E690" s="988"/>
      <c r="F690" s="988"/>
      <c r="G690" s="988"/>
      <c r="H690" s="988"/>
      <c r="I690" s="988"/>
      <c r="J690" s="988"/>
    </row>
    <row r="691" spans="1:11" ht="22.9" customHeight="1">
      <c r="A691" s="989" t="s">
        <v>1372</v>
      </c>
      <c r="B691" s="989"/>
      <c r="C691" s="989"/>
      <c r="D691" s="989"/>
      <c r="E691" s="989"/>
      <c r="F691" s="989"/>
      <c r="G691" s="989"/>
      <c r="H691" s="989"/>
      <c r="I691" s="989"/>
      <c r="J691" s="989"/>
      <c r="K691" s="989"/>
    </row>
    <row r="692" spans="1:11" ht="20.25" customHeight="1">
      <c r="A692" s="79"/>
      <c r="B692" s="79"/>
      <c r="C692" s="80"/>
      <c r="D692" s="80"/>
      <c r="E692" s="80"/>
      <c r="F692" s="81"/>
      <c r="G692" s="80"/>
      <c r="H692" s="80"/>
      <c r="I692" s="80"/>
      <c r="J692" s="82"/>
    </row>
    <row r="693" spans="1:11" ht="19.899999999999999" customHeight="1">
      <c r="A693" s="369"/>
      <c r="B693" s="346"/>
      <c r="C693" s="347" t="s">
        <v>24</v>
      </c>
      <c r="D693" s="83" t="s">
        <v>1373</v>
      </c>
      <c r="E693" s="21"/>
      <c r="F693" s="24"/>
      <c r="G693" s="21"/>
      <c r="H693" s="39"/>
      <c r="I693" s="245">
        <f>SUM(I694)</f>
        <v>0</v>
      </c>
      <c r="J693" s="245">
        <f>SUM(J694)</f>
        <v>0</v>
      </c>
      <c r="K693" s="84" t="e">
        <f>J693/$J$730</f>
        <v>#DIV/0!</v>
      </c>
    </row>
    <row r="694" spans="1:11" ht="25.15" customHeight="1" outlineLevel="1">
      <c r="A694" s="275" t="str">
        <f>'COTAÇÕES EQUIPAMENTOS'!A77:H77</f>
        <v>MERC04/15</v>
      </c>
      <c r="B694" s="277"/>
      <c r="C694" s="277" t="s">
        <v>27</v>
      </c>
      <c r="D694" s="766" t="s">
        <v>1374</v>
      </c>
      <c r="E694" s="767" t="s">
        <v>55</v>
      </c>
      <c r="F694" s="768">
        <f>'MEMORIAL DE CALCULO'!H3137</f>
        <v>67</v>
      </c>
      <c r="G694" s="1171"/>
      <c r="H694" s="270">
        <f>G694*$I$6</f>
        <v>0</v>
      </c>
      <c r="I694" s="284">
        <f>F694*G694</f>
        <v>0</v>
      </c>
      <c r="J694" s="285">
        <f>F694*H694</f>
        <v>0</v>
      </c>
      <c r="K694" s="266"/>
    </row>
    <row r="695" spans="1:11" ht="19.899999999999999" customHeight="1">
      <c r="A695" s="369"/>
      <c r="B695" s="346"/>
      <c r="C695" s="347" t="s">
        <v>43</v>
      </c>
      <c r="D695" s="23" t="s">
        <v>1375</v>
      </c>
      <c r="E695" s="21"/>
      <c r="F695" s="24"/>
      <c r="G695" s="39"/>
      <c r="H695" s="39"/>
      <c r="I695" s="245">
        <f>SUM(I696:I700)</f>
        <v>0</v>
      </c>
      <c r="J695" s="245">
        <f>SUM(J696:J700)</f>
        <v>0</v>
      </c>
      <c r="K695" s="84" t="e">
        <f>J695/$J$730</f>
        <v>#DIV/0!</v>
      </c>
    </row>
    <row r="696" spans="1:11" ht="49.5" customHeight="1" outlineLevel="1">
      <c r="A696" s="370" t="s">
        <v>1376</v>
      </c>
      <c r="B696" s="277" t="s">
        <v>26</v>
      </c>
      <c r="C696" s="278" t="s">
        <v>45</v>
      </c>
      <c r="D696" s="754" t="s">
        <v>1377</v>
      </c>
      <c r="E696" s="755" t="s">
        <v>55</v>
      </c>
      <c r="F696" s="749">
        <f>'MEMORIAL DE CALCULO'!H3140</f>
        <v>2</v>
      </c>
      <c r="G696" s="1171"/>
      <c r="H696" s="270">
        <f>G696*$I$6</f>
        <v>0</v>
      </c>
      <c r="I696" s="284">
        <f>F696*G696</f>
        <v>0</v>
      </c>
      <c r="J696" s="285">
        <f>F696*H696</f>
        <v>0</v>
      </c>
      <c r="K696" s="282"/>
    </row>
    <row r="697" spans="1:11" ht="43.5" customHeight="1" outlineLevel="1">
      <c r="A697" s="370" t="s">
        <v>1378</v>
      </c>
      <c r="B697" s="277" t="s">
        <v>26</v>
      </c>
      <c r="C697" s="278" t="s">
        <v>65</v>
      </c>
      <c r="D697" s="754" t="s">
        <v>1379</v>
      </c>
      <c r="E697" s="755" t="s">
        <v>55</v>
      </c>
      <c r="F697" s="749">
        <f>'MEMORIAL DE CALCULO'!H3143</f>
        <v>4</v>
      </c>
      <c r="G697" s="1171"/>
      <c r="H697" s="270">
        <f t="shared" ref="H697:H702" si="189">G697*$I$6</f>
        <v>0</v>
      </c>
      <c r="I697" s="284">
        <f>F697*G697</f>
        <v>0</v>
      </c>
      <c r="J697" s="285">
        <f>F697*H697</f>
        <v>0</v>
      </c>
      <c r="K697" s="282"/>
    </row>
    <row r="698" spans="1:11" ht="45.75" customHeight="1" outlineLevel="1">
      <c r="A698" s="370" t="s">
        <v>1380</v>
      </c>
      <c r="B698" s="277" t="s">
        <v>26</v>
      </c>
      <c r="C698" s="278" t="s">
        <v>92</v>
      </c>
      <c r="D698" s="754" t="s">
        <v>1381</v>
      </c>
      <c r="E698" s="755" t="s">
        <v>55</v>
      </c>
      <c r="F698" s="749">
        <f>'MEMORIAL DE CALCULO'!H3148</f>
        <v>12</v>
      </c>
      <c r="G698" s="1171"/>
      <c r="H698" s="270">
        <f t="shared" si="189"/>
        <v>0</v>
      </c>
      <c r="I698" s="284">
        <f>F698*G698</f>
        <v>0</v>
      </c>
      <c r="J698" s="285">
        <f>F698*H698</f>
        <v>0</v>
      </c>
      <c r="K698" s="282"/>
    </row>
    <row r="699" spans="1:11" ht="50.25" customHeight="1" outlineLevel="1">
      <c r="A699" s="370" t="s">
        <v>1382</v>
      </c>
      <c r="B699" s="277" t="s">
        <v>26</v>
      </c>
      <c r="C699" s="278" t="s">
        <v>1383</v>
      </c>
      <c r="D699" s="754" t="s">
        <v>1384</v>
      </c>
      <c r="E699" s="755" t="s">
        <v>55</v>
      </c>
      <c r="F699" s="749">
        <f>'MEMORIAL DE CALCULO'!H3157</f>
        <v>1</v>
      </c>
      <c r="G699" s="1171"/>
      <c r="H699" s="270">
        <f t="shared" si="189"/>
        <v>0</v>
      </c>
      <c r="I699" s="284">
        <f>F699*G699</f>
        <v>0</v>
      </c>
      <c r="J699" s="285">
        <f>F699*H699</f>
        <v>0</v>
      </c>
      <c r="K699" s="282"/>
    </row>
    <row r="700" spans="1:11" ht="49.5" customHeight="1" outlineLevel="1">
      <c r="A700" s="328" t="s">
        <v>1385</v>
      </c>
      <c r="B700" s="278" t="s">
        <v>26</v>
      </c>
      <c r="C700" s="278" t="s">
        <v>1386</v>
      </c>
      <c r="D700" s="750" t="s">
        <v>1387</v>
      </c>
      <c r="E700" s="759" t="s">
        <v>55</v>
      </c>
      <c r="F700" s="765">
        <f>'MEMORIAL DE CALCULO'!H3160</f>
        <v>4</v>
      </c>
      <c r="G700" s="1171"/>
      <c r="H700" s="270">
        <f t="shared" si="189"/>
        <v>0</v>
      </c>
      <c r="I700" s="286">
        <f>F700*G700</f>
        <v>0</v>
      </c>
      <c r="J700" s="287">
        <f>F700*H700</f>
        <v>0</v>
      </c>
      <c r="K700" s="329"/>
    </row>
    <row r="701" spans="1:11" ht="19.899999999999999" customHeight="1">
      <c r="A701" s="369"/>
      <c r="B701" s="346"/>
      <c r="C701" s="347" t="s">
        <v>131</v>
      </c>
      <c r="D701" s="23" t="s">
        <v>1388</v>
      </c>
      <c r="E701" s="21"/>
      <c r="F701" s="24"/>
      <c r="G701" s="39"/>
      <c r="H701" s="39"/>
      <c r="I701" s="245">
        <f>SUM(I702:I702)</f>
        <v>0</v>
      </c>
      <c r="J701" s="245">
        <f>SUM(J702:J702)</f>
        <v>0</v>
      </c>
      <c r="K701" s="84" t="e">
        <f>J701/$J$730</f>
        <v>#DIV/0!</v>
      </c>
    </row>
    <row r="702" spans="1:11" ht="53.25" customHeight="1" outlineLevel="1">
      <c r="A702" s="276">
        <v>11087</v>
      </c>
      <c r="B702" s="247" t="s">
        <v>67</v>
      </c>
      <c r="C702" s="278" t="s">
        <v>133</v>
      </c>
      <c r="D702" s="763" t="s">
        <v>1389</v>
      </c>
      <c r="E702" s="33" t="s">
        <v>55</v>
      </c>
      <c r="F702" s="764">
        <f>'MEMORIAL DE CALCULO'!H3163</f>
        <v>4</v>
      </c>
      <c r="G702" s="1171"/>
      <c r="H702" s="270">
        <f t="shared" si="189"/>
        <v>0</v>
      </c>
      <c r="I702" s="284">
        <f>F702*G702</f>
        <v>0</v>
      </c>
      <c r="J702" s="285">
        <f>F702*H702</f>
        <v>0</v>
      </c>
      <c r="K702" s="283"/>
    </row>
    <row r="703" spans="1:11" ht="19.899999999999999" customHeight="1">
      <c r="A703" s="369"/>
      <c r="B703" s="346"/>
      <c r="C703" s="347" t="s">
        <v>150</v>
      </c>
      <c r="D703" s="23" t="s">
        <v>1390</v>
      </c>
      <c r="E703" s="21"/>
      <c r="F703" s="24"/>
      <c r="G703" s="39"/>
      <c r="H703" s="39"/>
      <c r="I703" s="245">
        <f>I704+I725</f>
        <v>0</v>
      </c>
      <c r="J703" s="245">
        <f>J704+J725</f>
        <v>0</v>
      </c>
      <c r="K703" s="84" t="e">
        <f>J703/$J$730</f>
        <v>#DIV/0!</v>
      </c>
    </row>
    <row r="704" spans="1:11" s="1" customFormat="1" ht="18" customHeight="1" outlineLevel="1">
      <c r="A704" s="371"/>
      <c r="B704" s="279"/>
      <c r="C704" s="279" t="s">
        <v>152</v>
      </c>
      <c r="D704" s="87" t="s">
        <v>1391</v>
      </c>
      <c r="E704" s="86"/>
      <c r="F704" s="88"/>
      <c r="G704" s="31"/>
      <c r="H704" s="31"/>
      <c r="I704" s="250">
        <f>SUM(I705:I724)</f>
        <v>0</v>
      </c>
      <c r="J704" s="288">
        <f>SUM(J705:J724)</f>
        <v>0</v>
      </c>
      <c r="K704" s="89" t="e">
        <f>J704/$J$730</f>
        <v>#DIV/0!</v>
      </c>
    </row>
    <row r="705" spans="1:11" ht="33.6" customHeight="1" outlineLevel="2">
      <c r="A705" s="578">
        <v>8507</v>
      </c>
      <c r="B705" s="280" t="s">
        <v>67</v>
      </c>
      <c r="C705" s="280" t="s">
        <v>154</v>
      </c>
      <c r="D705" s="744" t="s">
        <v>1392</v>
      </c>
      <c r="E705" s="745" t="s">
        <v>55</v>
      </c>
      <c r="F705" s="746">
        <f>'MEMORIAL DE CALCULO'!H3167</f>
        <v>1</v>
      </c>
      <c r="G705" s="1171"/>
      <c r="H705" s="270">
        <f t="shared" ref="H705:H728" si="190">G705*$I$6</f>
        <v>0</v>
      </c>
      <c r="I705" s="286">
        <f t="shared" ref="I705:I711" si="191">F705*G705</f>
        <v>0</v>
      </c>
      <c r="J705" s="289">
        <f t="shared" ref="J705:J710" si="192">F705*H705</f>
        <v>0</v>
      </c>
      <c r="K705" s="579"/>
    </row>
    <row r="706" spans="1:11" ht="61.5" customHeight="1" outlineLevel="2">
      <c r="A706" s="370" t="str">
        <f>'COTAÇÕES EQUIPAMENTOS'!A67:H67</f>
        <v>MERC04/13</v>
      </c>
      <c r="B706" s="277"/>
      <c r="C706" s="281" t="s">
        <v>1393</v>
      </c>
      <c r="D706" s="747" t="s">
        <v>1394</v>
      </c>
      <c r="E706" s="748" t="s">
        <v>55</v>
      </c>
      <c r="F706" s="749">
        <f>'MEMORIAL DE CALCULO'!H3169</f>
        <v>5</v>
      </c>
      <c r="G706" s="1171"/>
      <c r="H706" s="270">
        <f t="shared" si="190"/>
        <v>0</v>
      </c>
      <c r="I706" s="284">
        <f t="shared" si="191"/>
        <v>0</v>
      </c>
      <c r="J706" s="290">
        <f t="shared" si="192"/>
        <v>0</v>
      </c>
      <c r="K706" s="282"/>
    </row>
    <row r="707" spans="1:11" outlineLevel="2">
      <c r="A707" s="370">
        <v>11419</v>
      </c>
      <c r="B707" s="277" t="s">
        <v>67</v>
      </c>
      <c r="C707" s="281" t="s">
        <v>1395</v>
      </c>
      <c r="D707" s="750" t="s">
        <v>1396</v>
      </c>
      <c r="E707" s="751" t="s">
        <v>55</v>
      </c>
      <c r="F707" s="752">
        <f>'MEMORIAL DE CALCULO'!H3171</f>
        <v>1</v>
      </c>
      <c r="G707" s="1171"/>
      <c r="H707" s="270">
        <f t="shared" si="190"/>
        <v>0</v>
      </c>
      <c r="I707" s="284">
        <f t="shared" si="191"/>
        <v>0</v>
      </c>
      <c r="J707" s="290">
        <f t="shared" si="192"/>
        <v>0</v>
      </c>
      <c r="K707" s="282"/>
    </row>
    <row r="708" spans="1:11" ht="29.25" customHeight="1" outlineLevel="2">
      <c r="A708" s="370">
        <v>10305</v>
      </c>
      <c r="B708" s="277" t="s">
        <v>67</v>
      </c>
      <c r="C708" s="281" t="s">
        <v>1397</v>
      </c>
      <c r="D708" s="754" t="s">
        <v>1398</v>
      </c>
      <c r="E708" s="755" t="s">
        <v>55</v>
      </c>
      <c r="F708" s="756">
        <f>'MEMORIAL DE CALCULO'!H3174</f>
        <v>1</v>
      </c>
      <c r="G708" s="1171"/>
      <c r="H708" s="270">
        <f t="shared" si="190"/>
        <v>0</v>
      </c>
      <c r="I708" s="284">
        <f t="shared" si="191"/>
        <v>0</v>
      </c>
      <c r="J708" s="290">
        <f t="shared" si="192"/>
        <v>0</v>
      </c>
      <c r="K708" s="282"/>
    </row>
    <row r="709" spans="1:11" ht="35.25" customHeight="1" outlineLevel="2">
      <c r="A709" s="370">
        <v>98304</v>
      </c>
      <c r="B709" s="277" t="s">
        <v>26</v>
      </c>
      <c r="C709" s="280" t="s">
        <v>1399</v>
      </c>
      <c r="D709" s="754" t="s">
        <v>1400</v>
      </c>
      <c r="E709" s="755" t="s">
        <v>55</v>
      </c>
      <c r="F709" s="756">
        <f>'MEMORIAL DE CALCULO'!H3175</f>
        <v>3</v>
      </c>
      <c r="G709" s="1171"/>
      <c r="H709" s="270">
        <f t="shared" si="190"/>
        <v>0</v>
      </c>
      <c r="I709" s="284">
        <f t="shared" si="191"/>
        <v>0</v>
      </c>
      <c r="J709" s="290">
        <f t="shared" si="192"/>
        <v>0</v>
      </c>
      <c r="K709" s="282"/>
    </row>
    <row r="710" spans="1:11" ht="25.5" customHeight="1" outlineLevel="2">
      <c r="A710" s="370">
        <v>10727</v>
      </c>
      <c r="B710" s="277" t="s">
        <v>67</v>
      </c>
      <c r="C710" s="280" t="s">
        <v>1401</v>
      </c>
      <c r="D710" s="754" t="s">
        <v>1402</v>
      </c>
      <c r="E710" s="755" t="s">
        <v>55</v>
      </c>
      <c r="F710" s="756">
        <f>'MEMORIAL DE CALCULO'!H3177</f>
        <v>4</v>
      </c>
      <c r="G710" s="1171"/>
      <c r="H710" s="270">
        <f t="shared" si="190"/>
        <v>0</v>
      </c>
      <c r="I710" s="284">
        <f t="shared" si="191"/>
        <v>0</v>
      </c>
      <c r="J710" s="290">
        <f t="shared" si="192"/>
        <v>0</v>
      </c>
      <c r="K710" s="282"/>
    </row>
    <row r="711" spans="1:11" s="44" customFormat="1" ht="20.45" customHeight="1" outlineLevel="2">
      <c r="A711" s="366">
        <v>11307</v>
      </c>
      <c r="B711" s="258" t="s">
        <v>67</v>
      </c>
      <c r="C711" s="280" t="s">
        <v>1403</v>
      </c>
      <c r="D711" s="757" t="s">
        <v>1404</v>
      </c>
      <c r="E711" s="758" t="s">
        <v>55</v>
      </c>
      <c r="F711" s="360">
        <f>'MEMORIAL DE CALCULO'!H3179</f>
        <v>1</v>
      </c>
      <c r="G711" s="1171"/>
      <c r="H711" s="270">
        <f t="shared" si="190"/>
        <v>0</v>
      </c>
      <c r="I711" s="248">
        <f t="shared" si="191"/>
        <v>0</v>
      </c>
      <c r="J711" s="248">
        <f t="shared" ref="J711:J724" si="193">H711*F711</f>
        <v>0</v>
      </c>
      <c r="K711" s="282"/>
    </row>
    <row r="712" spans="1:11" ht="21" customHeight="1" outlineLevel="2">
      <c r="A712" s="370" t="s">
        <v>1405</v>
      </c>
      <c r="B712" s="277"/>
      <c r="C712" s="280" t="s">
        <v>1406</v>
      </c>
      <c r="D712" s="750" t="s">
        <v>1407</v>
      </c>
      <c r="E712" s="759" t="s">
        <v>55</v>
      </c>
      <c r="F712" s="752">
        <f>'MEMORIAL DE CALCULO'!H3181</f>
        <v>1</v>
      </c>
      <c r="G712" s="1171"/>
      <c r="H712" s="270">
        <f t="shared" si="190"/>
        <v>0</v>
      </c>
      <c r="I712" s="284">
        <f t="shared" ref="I712:I724" si="194">G712*F712</f>
        <v>0</v>
      </c>
      <c r="J712" s="285">
        <f t="shared" si="193"/>
        <v>0</v>
      </c>
      <c r="K712" s="282"/>
    </row>
    <row r="713" spans="1:11" ht="19.899999999999999" customHeight="1" outlineLevel="2">
      <c r="A713" s="370" t="s">
        <v>1408</v>
      </c>
      <c r="B713" s="277" t="s">
        <v>67</v>
      </c>
      <c r="C713" s="280" t="s">
        <v>1409</v>
      </c>
      <c r="D713" s="754" t="s">
        <v>1410</v>
      </c>
      <c r="E713" s="755" t="s">
        <v>55</v>
      </c>
      <c r="F713" s="756">
        <f>'MEMORIAL DE CALCULO'!H3183</f>
        <v>1</v>
      </c>
      <c r="G713" s="1171"/>
      <c r="H713" s="270">
        <f t="shared" si="190"/>
        <v>0</v>
      </c>
      <c r="I713" s="284">
        <f t="shared" si="194"/>
        <v>0</v>
      </c>
      <c r="J713" s="285">
        <f t="shared" si="193"/>
        <v>0</v>
      </c>
      <c r="K713" s="282"/>
    </row>
    <row r="714" spans="1:11" ht="27" customHeight="1" outlineLevel="2">
      <c r="A714" s="370" t="str">
        <f>'COTAÇÕES EQUIPAMENTOS'!A82:H82</f>
        <v>MERC04/16</v>
      </c>
      <c r="B714" s="277"/>
      <c r="C714" s="280" t="s">
        <v>1411</v>
      </c>
      <c r="D714" s="761" t="s">
        <v>1412</v>
      </c>
      <c r="E714" s="755" t="s">
        <v>55</v>
      </c>
      <c r="F714" s="756">
        <f>'MEMORIAL DE CALCULO'!H3185</f>
        <v>1</v>
      </c>
      <c r="G714" s="1171"/>
      <c r="H714" s="270">
        <f t="shared" si="190"/>
        <v>0</v>
      </c>
      <c r="I714" s="284">
        <f t="shared" si="194"/>
        <v>0</v>
      </c>
      <c r="J714" s="285">
        <f t="shared" si="193"/>
        <v>0</v>
      </c>
      <c r="K714" s="282"/>
    </row>
    <row r="715" spans="1:11" ht="28.5" customHeight="1" outlineLevel="2">
      <c r="A715" s="370" t="s">
        <v>1413</v>
      </c>
      <c r="B715" s="277" t="s">
        <v>67</v>
      </c>
      <c r="C715" s="280" t="s">
        <v>1414</v>
      </c>
      <c r="D715" s="762" t="s">
        <v>1415</v>
      </c>
      <c r="E715" s="759" t="s">
        <v>55</v>
      </c>
      <c r="F715" s="756">
        <f>'MEMORIAL DE CALCULO'!H3187</f>
        <v>1</v>
      </c>
      <c r="G715" s="1171"/>
      <c r="H715" s="270">
        <f t="shared" si="190"/>
        <v>0</v>
      </c>
      <c r="I715" s="284">
        <f t="shared" si="194"/>
        <v>0</v>
      </c>
      <c r="J715" s="285">
        <f t="shared" si="193"/>
        <v>0</v>
      </c>
      <c r="K715" s="282"/>
    </row>
    <row r="716" spans="1:11" ht="24" customHeight="1" outlineLevel="2">
      <c r="A716" s="370" t="str">
        <f>'COTAÇÕES EQUIPAMENTOS'!A15</f>
        <v>MERC04/03</v>
      </c>
      <c r="B716" s="277"/>
      <c r="C716" s="280" t="s">
        <v>1416</v>
      </c>
      <c r="D716" s="754" t="s">
        <v>1417</v>
      </c>
      <c r="E716" s="759" t="s">
        <v>55</v>
      </c>
      <c r="F716" s="756">
        <f>'MEMORIAL DE CALCULO'!H3189</f>
        <v>2</v>
      </c>
      <c r="G716" s="1171"/>
      <c r="H716" s="270">
        <f t="shared" si="190"/>
        <v>0</v>
      </c>
      <c r="I716" s="284">
        <f t="shared" si="194"/>
        <v>0</v>
      </c>
      <c r="J716" s="285">
        <f t="shared" si="193"/>
        <v>0</v>
      </c>
      <c r="K716" s="282"/>
    </row>
    <row r="717" spans="1:11" ht="26.45" customHeight="1" outlineLevel="2">
      <c r="A717" s="370" t="str">
        <f>'COTAÇÕES EQUIPAMENTOS'!A8</f>
        <v>MERC04/02</v>
      </c>
      <c r="B717" s="277"/>
      <c r="C717" s="280" t="s">
        <v>1418</v>
      </c>
      <c r="D717" s="757" t="s">
        <v>1419</v>
      </c>
      <c r="E717" s="758" t="s">
        <v>55</v>
      </c>
      <c r="F717" s="360">
        <f>'MEMORIAL DE CALCULO'!H3191</f>
        <v>42</v>
      </c>
      <c r="G717" s="1171"/>
      <c r="H717" s="270">
        <f t="shared" si="190"/>
        <v>0</v>
      </c>
      <c r="I717" s="284">
        <f t="shared" si="194"/>
        <v>0</v>
      </c>
      <c r="J717" s="285">
        <f t="shared" si="193"/>
        <v>0</v>
      </c>
      <c r="K717" s="282"/>
    </row>
    <row r="718" spans="1:11" ht="31.5" customHeight="1" outlineLevel="2">
      <c r="A718" s="370">
        <v>39611</v>
      </c>
      <c r="B718" s="277" t="s">
        <v>26</v>
      </c>
      <c r="C718" s="280" t="s">
        <v>1420</v>
      </c>
      <c r="D718" s="754" t="s">
        <v>1421</v>
      </c>
      <c r="E718" s="759" t="s">
        <v>55</v>
      </c>
      <c r="F718" s="756">
        <f>'MEMORIAL DE CALCULO'!H3193</f>
        <v>1</v>
      </c>
      <c r="G718" s="1171"/>
      <c r="H718" s="270">
        <f t="shared" si="190"/>
        <v>0</v>
      </c>
      <c r="I718" s="284">
        <f t="shared" si="194"/>
        <v>0</v>
      </c>
      <c r="J718" s="285">
        <f t="shared" si="193"/>
        <v>0</v>
      </c>
      <c r="K718" s="282"/>
    </row>
    <row r="719" spans="1:11" ht="28.9" customHeight="1" outlineLevel="2">
      <c r="A719" s="370">
        <v>13246</v>
      </c>
      <c r="B719" s="277" t="s">
        <v>67</v>
      </c>
      <c r="C719" s="280" t="s">
        <v>1422</v>
      </c>
      <c r="D719" s="754" t="s">
        <v>1423</v>
      </c>
      <c r="E719" s="759" t="s">
        <v>55</v>
      </c>
      <c r="F719" s="752">
        <f>'MEMORIAL DE CALCULO'!H3195</f>
        <v>1</v>
      </c>
      <c r="G719" s="1171"/>
      <c r="H719" s="270">
        <f t="shared" si="190"/>
        <v>0</v>
      </c>
      <c r="I719" s="284">
        <f t="shared" si="194"/>
        <v>0</v>
      </c>
      <c r="J719" s="285">
        <f t="shared" si="193"/>
        <v>0</v>
      </c>
      <c r="K719" s="282"/>
    </row>
    <row r="720" spans="1:11" ht="28.9" customHeight="1" outlineLevel="2">
      <c r="A720" s="370">
        <v>12397</v>
      </c>
      <c r="B720" s="277" t="s">
        <v>67</v>
      </c>
      <c r="C720" s="280" t="s">
        <v>1424</v>
      </c>
      <c r="D720" s="754" t="s">
        <v>1425</v>
      </c>
      <c r="E720" s="759" t="s">
        <v>55</v>
      </c>
      <c r="F720" s="752">
        <f>'MEMORIAL DE CALCULO'!H3197</f>
        <v>1</v>
      </c>
      <c r="G720" s="1171"/>
      <c r="H720" s="270">
        <f t="shared" si="190"/>
        <v>0</v>
      </c>
      <c r="I720" s="284">
        <f t="shared" si="194"/>
        <v>0</v>
      </c>
      <c r="J720" s="285">
        <f t="shared" si="193"/>
        <v>0</v>
      </c>
      <c r="K720" s="282"/>
    </row>
    <row r="721" spans="1:11" ht="20.45" customHeight="1" outlineLevel="2">
      <c r="A721" s="370" t="str">
        <f>'COTAÇÕES EQUIPAMENTOS'!A37:H37</f>
        <v>MERC04/07</v>
      </c>
      <c r="B721" s="277"/>
      <c r="C721" s="280" t="s">
        <v>1426</v>
      </c>
      <c r="D721" s="754" t="s">
        <v>1427</v>
      </c>
      <c r="E721" s="755" t="s">
        <v>55</v>
      </c>
      <c r="F721" s="756">
        <f>'MEMORIAL DE CALCULO'!H3199</f>
        <v>2</v>
      </c>
      <c r="G721" s="1171"/>
      <c r="H721" s="270">
        <f t="shared" si="190"/>
        <v>0</v>
      </c>
      <c r="I721" s="284">
        <f t="shared" si="194"/>
        <v>0</v>
      </c>
      <c r="J721" s="285">
        <f t="shared" si="193"/>
        <v>0</v>
      </c>
      <c r="K721" s="282"/>
    </row>
    <row r="722" spans="1:11" ht="28.5" customHeight="1" outlineLevel="2">
      <c r="A722" s="370">
        <v>13458</v>
      </c>
      <c r="B722" s="277" t="s">
        <v>67</v>
      </c>
      <c r="C722" s="280" t="s">
        <v>1428</v>
      </c>
      <c r="D722" s="762" t="s">
        <v>1429</v>
      </c>
      <c r="E722" s="759" t="s">
        <v>55</v>
      </c>
      <c r="F722" s="756">
        <f>'MEMORIAL DE CALCULO'!H3201</f>
        <v>1</v>
      </c>
      <c r="G722" s="1171"/>
      <c r="H722" s="270">
        <f t="shared" si="190"/>
        <v>0</v>
      </c>
      <c r="I722" s="284">
        <f t="shared" si="194"/>
        <v>0</v>
      </c>
      <c r="J722" s="285">
        <f t="shared" si="193"/>
        <v>0</v>
      </c>
      <c r="K722" s="282"/>
    </row>
    <row r="723" spans="1:11" ht="21" customHeight="1" outlineLevel="2">
      <c r="A723" s="370" t="str">
        <f>'COTAÇÕES EQUIPAMENTOS'!A47:H47</f>
        <v>MERC04/09</v>
      </c>
      <c r="B723" s="277"/>
      <c r="C723" s="280" t="s">
        <v>1430</v>
      </c>
      <c r="D723" s="754" t="s">
        <v>1431</v>
      </c>
      <c r="E723" s="759" t="s">
        <v>55</v>
      </c>
      <c r="F723" s="756">
        <f>'MEMORIAL DE CALCULO'!H3203</f>
        <v>1</v>
      </c>
      <c r="G723" s="1171"/>
      <c r="H723" s="270">
        <f t="shared" si="190"/>
        <v>0</v>
      </c>
      <c r="I723" s="284">
        <f t="shared" si="194"/>
        <v>0</v>
      </c>
      <c r="J723" s="285">
        <f t="shared" si="193"/>
        <v>0</v>
      </c>
      <c r="K723" s="282"/>
    </row>
    <row r="724" spans="1:11" ht="19.899999999999999" customHeight="1" outlineLevel="2">
      <c r="A724" s="370" t="str">
        <f>'COTAÇÕES EQUIPAMENTOS'!A52:H52</f>
        <v>MERC04/10</v>
      </c>
      <c r="B724" s="277"/>
      <c r="C724" s="281" t="s">
        <v>1432</v>
      </c>
      <c r="D724" s="754" t="s">
        <v>1433</v>
      </c>
      <c r="E724" s="759" t="s">
        <v>55</v>
      </c>
      <c r="F724" s="756">
        <f>'MEMORIAL DE CALCULO'!H3205</f>
        <v>2</v>
      </c>
      <c r="G724" s="1171"/>
      <c r="H724" s="270">
        <f t="shared" si="190"/>
        <v>0</v>
      </c>
      <c r="I724" s="284">
        <f t="shared" si="194"/>
        <v>0</v>
      </c>
      <c r="J724" s="285">
        <f t="shared" si="193"/>
        <v>0</v>
      </c>
      <c r="K724" s="282"/>
    </row>
    <row r="725" spans="1:11" s="1" customFormat="1" ht="18" customHeight="1" outlineLevel="1">
      <c r="A725" s="371"/>
      <c r="B725" s="279"/>
      <c r="C725" s="279" t="s">
        <v>156</v>
      </c>
      <c r="D725" s="87" t="s">
        <v>1434</v>
      </c>
      <c r="E725" s="86"/>
      <c r="F725" s="88"/>
      <c r="G725" s="31"/>
      <c r="H725" s="31"/>
      <c r="I725" s="250">
        <f>SUM(I726)</f>
        <v>0</v>
      </c>
      <c r="J725" s="250">
        <f>SUM(J726)</f>
        <v>0</v>
      </c>
      <c r="K725" s="89" t="e">
        <f>J725/$J$730</f>
        <v>#DIV/0!</v>
      </c>
    </row>
    <row r="726" spans="1:11" s="1" customFormat="1" ht="18" customHeight="1" outlineLevel="1">
      <c r="A726" s="578" t="str">
        <f>'COTAÇÕES EQUIPAMENTOS'!A87</f>
        <v>MERC04/17</v>
      </c>
      <c r="B726" s="656"/>
      <c r="C726" s="656" t="s">
        <v>158</v>
      </c>
      <c r="D726" s="740" t="s">
        <v>1435</v>
      </c>
      <c r="E726" s="741" t="s">
        <v>55</v>
      </c>
      <c r="F726" s="742">
        <f>'MEMORIAL DE CALCULO'!H3208</f>
        <v>1</v>
      </c>
      <c r="G726" s="1171"/>
      <c r="H726" s="270">
        <f t="shared" si="190"/>
        <v>0</v>
      </c>
      <c r="I726" s="657">
        <f>G726*F726</f>
        <v>0</v>
      </c>
      <c r="J726" s="658">
        <f>H726*F726</f>
        <v>0</v>
      </c>
      <c r="K726" s="659"/>
    </row>
    <row r="727" spans="1:11" ht="19.899999999999999" customHeight="1">
      <c r="A727" s="369"/>
      <c r="B727" s="346"/>
      <c r="C727" s="347" t="s">
        <v>181</v>
      </c>
      <c r="D727" s="23" t="s">
        <v>1436</v>
      </c>
      <c r="E727" s="90"/>
      <c r="F727" s="91"/>
      <c r="G727" s="92"/>
      <c r="H727" s="92"/>
      <c r="I727" s="245">
        <f>SUM(I728:I728)</f>
        <v>0</v>
      </c>
      <c r="J727" s="245">
        <f>SUM(J728:J728)</f>
        <v>0</v>
      </c>
      <c r="K727" s="84" t="e">
        <f>J727/$J$730</f>
        <v>#DIV/0!</v>
      </c>
    </row>
    <row r="728" spans="1:11" ht="28.5" customHeight="1" outlineLevel="1">
      <c r="A728" s="567" t="s">
        <v>1437</v>
      </c>
      <c r="B728" s="564" t="s">
        <v>67</v>
      </c>
      <c r="C728" s="567" t="s">
        <v>183</v>
      </c>
      <c r="D728" s="738" t="s">
        <v>1438</v>
      </c>
      <c r="E728" s="567" t="s">
        <v>55</v>
      </c>
      <c r="F728" s="739">
        <f>'MEMORIAL DE CALCULO'!H3211</f>
        <v>1</v>
      </c>
      <c r="G728" s="1171"/>
      <c r="H728" s="270">
        <f t="shared" si="190"/>
        <v>0</v>
      </c>
      <c r="I728" s="574">
        <f>F728*G728</f>
        <v>0</v>
      </c>
      <c r="J728" s="580">
        <f>F728*H728</f>
        <v>0</v>
      </c>
      <c r="K728" s="581"/>
    </row>
    <row r="729" spans="1:11">
      <c r="A729" s="93"/>
      <c r="B729" s="94"/>
      <c r="C729" s="95"/>
      <c r="D729" s="85"/>
      <c r="E729" s="96"/>
      <c r="F729" s="97"/>
      <c r="G729" s="98"/>
      <c r="H729" s="98"/>
      <c r="I729" s="98"/>
      <c r="J729" s="99"/>
      <c r="K729" s="57"/>
    </row>
    <row r="730" spans="1:11" ht="16.149999999999999" customHeight="1">
      <c r="A730" s="367"/>
      <c r="B730" s="58"/>
      <c r="C730" s="59"/>
      <c r="D730" s="994" t="s">
        <v>1368</v>
      </c>
      <c r="E730" s="994"/>
      <c r="F730" s="994"/>
      <c r="G730" s="994"/>
      <c r="H730" s="994"/>
      <c r="I730" s="60">
        <f>I693+I695+I701+I703+I727</f>
        <v>0</v>
      </c>
      <c r="J730" s="60">
        <f>J693+J695+J701+J703+J727</f>
        <v>0</v>
      </c>
      <c r="K730" s="61" t="e">
        <f>K693+K695+K701+K703+K727</f>
        <v>#DIV/0!</v>
      </c>
    </row>
    <row r="731" spans="1:11" ht="16.899999999999999" customHeight="1">
      <c r="A731" s="330"/>
      <c r="B731" s="62"/>
      <c r="C731" s="63"/>
      <c r="D731" s="62"/>
      <c r="E731" s="62"/>
      <c r="F731" s="62"/>
      <c r="G731" s="62"/>
      <c r="H731" s="100"/>
      <c r="I731" s="101"/>
      <c r="J731" s="101"/>
    </row>
    <row r="732" spans="1:11" s="13" customFormat="1" ht="15.75">
      <c r="A732" s="102"/>
      <c r="B732" s="62"/>
      <c r="C732" s="63"/>
      <c r="D732" s="64" t="s">
        <v>1369</v>
      </c>
      <c r="E732" s="65"/>
      <c r="F732" s="66"/>
      <c r="G732" s="65"/>
      <c r="H732" s="65"/>
      <c r="I732" s="65"/>
      <c r="J732" s="1182">
        <f>J730</f>
        <v>0</v>
      </c>
    </row>
    <row r="733" spans="1:11" s="13" customFormat="1" ht="15.75">
      <c r="A733" s="102"/>
      <c r="B733" s="62"/>
      <c r="C733" s="63"/>
      <c r="D733" s="69" t="s">
        <v>1439</v>
      </c>
      <c r="E733" s="63"/>
      <c r="F733" s="70"/>
      <c r="G733" s="63"/>
      <c r="H733" s="63"/>
      <c r="I733" s="63"/>
      <c r="J733" s="1183">
        <f>I730*$H$6</f>
        <v>0</v>
      </c>
    </row>
    <row r="734" spans="1:11" s="13" customFormat="1" ht="15.75">
      <c r="A734" s="103"/>
      <c r="B734" s="62"/>
      <c r="C734" s="63"/>
      <c r="D734" s="73" t="s">
        <v>1371</v>
      </c>
      <c r="E734" s="74"/>
      <c r="F734" s="75"/>
      <c r="G734" s="74"/>
      <c r="H734" s="74"/>
      <c r="I734" s="74"/>
      <c r="J734" s="1184">
        <f>I730</f>
        <v>0</v>
      </c>
    </row>
    <row r="735" spans="1:11" ht="15.75">
      <c r="A735" s="79"/>
      <c r="B735" s="62"/>
      <c r="C735" s="63"/>
      <c r="D735" s="80"/>
      <c r="E735" s="80"/>
      <c r="F735" s="81"/>
      <c r="G735" s="80"/>
      <c r="H735" s="80"/>
      <c r="I735" s="80"/>
      <c r="J735" s="82"/>
    </row>
    <row r="736" spans="1:11" ht="15.75">
      <c r="A736" s="5"/>
      <c r="B736" s="62"/>
      <c r="C736" s="63"/>
      <c r="D736" s="78"/>
      <c r="E736" s="78"/>
      <c r="F736" s="10"/>
      <c r="G736" s="78"/>
      <c r="H736" s="78"/>
      <c r="I736" s="78"/>
      <c r="J736" s="104"/>
    </row>
    <row r="737" spans="1:10">
      <c r="A737" s="5"/>
      <c r="B737" s="5"/>
      <c r="C737" s="78"/>
      <c r="D737" s="78"/>
      <c r="E737" s="78"/>
      <c r="F737" s="10"/>
      <c r="G737" s="78"/>
      <c r="H737" s="78"/>
      <c r="I737" s="78"/>
      <c r="J737" s="104"/>
    </row>
    <row r="738" spans="1:10">
      <c r="A738" s="5"/>
      <c r="B738" s="5"/>
      <c r="C738" s="78"/>
      <c r="D738" s="78"/>
      <c r="E738" s="78"/>
      <c r="F738" s="10"/>
      <c r="G738" s="78"/>
      <c r="H738" s="78"/>
      <c r="I738" s="78"/>
      <c r="J738" s="104"/>
    </row>
    <row r="739" spans="1:10">
      <c r="A739" s="5"/>
      <c r="B739" s="5"/>
      <c r="C739" s="78"/>
      <c r="D739" s="78"/>
      <c r="E739" s="78"/>
      <c r="F739" s="10"/>
      <c r="G739" s="78"/>
      <c r="H739" s="78"/>
      <c r="I739" s="78"/>
      <c r="J739" s="104"/>
    </row>
    <row r="740" spans="1:10">
      <c r="A740" s="5"/>
      <c r="B740" s="5"/>
      <c r="C740" s="78"/>
      <c r="D740" s="78"/>
      <c r="E740" s="78"/>
      <c r="F740" s="10"/>
      <c r="G740" s="78"/>
      <c r="H740" s="78"/>
      <c r="I740" s="78"/>
      <c r="J740" s="104"/>
    </row>
    <row r="741" spans="1:10">
      <c r="A741" s="5"/>
      <c r="B741" s="5"/>
      <c r="C741" s="78"/>
      <c r="D741" s="78"/>
      <c r="E741" s="78"/>
      <c r="F741" s="10"/>
      <c r="G741" s="78"/>
      <c r="H741" s="78"/>
      <c r="I741" s="78"/>
      <c r="J741" s="104"/>
    </row>
    <row r="742" spans="1:10">
      <c r="A742" s="5"/>
      <c r="B742" s="5"/>
      <c r="C742" s="78"/>
      <c r="D742" s="78"/>
      <c r="E742" s="78"/>
      <c r="F742" s="10"/>
      <c r="G742" s="78"/>
      <c r="H742" s="78"/>
      <c r="I742" s="78"/>
      <c r="J742" s="104"/>
    </row>
    <row r="743" spans="1:10">
      <c r="A743" s="5"/>
      <c r="B743" s="5"/>
      <c r="C743" s="78"/>
      <c r="D743" s="78"/>
      <c r="E743" s="78"/>
      <c r="F743" s="10"/>
      <c r="G743" s="78"/>
      <c r="H743" s="78"/>
      <c r="I743" s="78"/>
      <c r="J743" s="104"/>
    </row>
    <row r="744" spans="1:10">
      <c r="A744" s="5"/>
      <c r="B744" s="5"/>
      <c r="C744" s="78"/>
      <c r="D744" s="78"/>
      <c r="E744" s="78"/>
      <c r="F744" s="10"/>
      <c r="G744" s="78"/>
      <c r="H744" s="78"/>
      <c r="I744" s="78"/>
      <c r="J744" s="104"/>
    </row>
    <row r="745" spans="1:10">
      <c r="A745" s="5"/>
      <c r="B745" s="5"/>
      <c r="C745" s="78"/>
      <c r="D745" s="78"/>
      <c r="E745" s="78"/>
      <c r="F745" s="10"/>
      <c r="G745" s="78"/>
      <c r="H745" s="78"/>
      <c r="I745" s="78"/>
      <c r="J745" s="104"/>
    </row>
    <row r="746" spans="1:10">
      <c r="A746" s="5"/>
      <c r="B746" s="5"/>
      <c r="C746" s="78"/>
      <c r="D746" s="78"/>
      <c r="E746" s="78"/>
      <c r="F746" s="10"/>
      <c r="G746" s="78"/>
      <c r="H746" s="78"/>
      <c r="I746" s="78"/>
      <c r="J746" s="104"/>
    </row>
    <row r="747" spans="1:10">
      <c r="A747" s="5"/>
      <c r="B747" s="5"/>
      <c r="C747" s="78"/>
      <c r="D747" s="78"/>
      <c r="E747" s="78"/>
      <c r="F747" s="10"/>
      <c r="G747" s="78"/>
      <c r="H747" s="78"/>
      <c r="I747" s="78"/>
      <c r="J747" s="104"/>
    </row>
    <row r="748" spans="1:10">
      <c r="A748" s="5"/>
      <c r="B748" s="5"/>
      <c r="C748" s="78"/>
      <c r="D748" s="78"/>
      <c r="E748" s="78"/>
      <c r="F748" s="10"/>
      <c r="G748" s="78"/>
      <c r="H748" s="78"/>
      <c r="I748" s="78"/>
      <c r="J748" s="104"/>
    </row>
    <row r="749" spans="1:10">
      <c r="A749" s="5"/>
      <c r="B749" s="5"/>
      <c r="C749" s="78"/>
      <c r="D749" s="78"/>
      <c r="E749" s="78"/>
      <c r="F749" s="10"/>
      <c r="G749" s="78"/>
      <c r="H749" s="78"/>
      <c r="I749" s="78"/>
      <c r="J749" s="104"/>
    </row>
    <row r="750" spans="1:10">
      <c r="A750" s="5"/>
      <c r="B750" s="5"/>
      <c r="C750" s="78"/>
      <c r="D750" s="78"/>
      <c r="E750" s="78"/>
      <c r="F750" s="10"/>
      <c r="G750" s="78"/>
      <c r="H750" s="78"/>
      <c r="I750" s="78"/>
      <c r="J750" s="104"/>
    </row>
    <row r="751" spans="1:10">
      <c r="A751" s="5"/>
      <c r="B751" s="5"/>
      <c r="C751" s="78"/>
      <c r="D751" s="78"/>
      <c r="E751" s="78"/>
      <c r="F751" s="10"/>
      <c r="G751" s="78"/>
      <c r="H751" s="78"/>
      <c r="I751" s="78"/>
      <c r="J751" s="104"/>
    </row>
    <row r="752" spans="1:10">
      <c r="A752" s="5"/>
      <c r="B752" s="5"/>
      <c r="C752" s="78"/>
      <c r="D752" s="78"/>
      <c r="E752" s="78"/>
      <c r="F752" s="10"/>
      <c r="G752" s="78"/>
      <c r="H752" s="78"/>
      <c r="I752" s="78"/>
      <c r="J752" s="104"/>
    </row>
    <row r="753" spans="1:10">
      <c r="A753" s="5"/>
      <c r="B753" s="5"/>
      <c r="C753" s="78"/>
      <c r="D753" s="78"/>
      <c r="E753" s="78"/>
      <c r="F753" s="10"/>
      <c r="G753" s="78"/>
      <c r="H753" s="78"/>
      <c r="I753" s="78"/>
      <c r="J753" s="104"/>
    </row>
    <row r="754" spans="1:10">
      <c r="A754" s="5"/>
      <c r="B754" s="5"/>
      <c r="C754" s="78"/>
      <c r="D754" s="78"/>
      <c r="E754" s="78"/>
      <c r="F754" s="10"/>
      <c r="G754" s="78"/>
      <c r="H754" s="78"/>
      <c r="I754" s="78"/>
      <c r="J754" s="104"/>
    </row>
    <row r="755" spans="1:10">
      <c r="A755" s="5"/>
      <c r="B755" s="5"/>
      <c r="C755" s="78"/>
      <c r="D755" s="78"/>
      <c r="E755" s="78"/>
      <c r="F755" s="10"/>
      <c r="G755" s="78"/>
      <c r="H755" s="78"/>
      <c r="I755" s="78"/>
      <c r="J755" s="104"/>
    </row>
    <row r="756" spans="1:10">
      <c r="A756" s="5"/>
      <c r="B756" s="5"/>
      <c r="C756" s="78"/>
      <c r="D756" s="78"/>
      <c r="E756" s="78"/>
      <c r="F756" s="10"/>
      <c r="G756" s="78"/>
      <c r="H756" s="78"/>
      <c r="I756" s="78"/>
      <c r="J756" s="104"/>
    </row>
    <row r="757" spans="1:10">
      <c r="A757" s="5"/>
      <c r="B757" s="5"/>
      <c r="C757" s="78"/>
      <c r="D757" s="78"/>
      <c r="E757" s="78"/>
      <c r="F757" s="10"/>
      <c r="G757" s="78"/>
      <c r="H757" s="78"/>
      <c r="I757" s="78"/>
      <c r="J757" s="104"/>
    </row>
    <row r="758" spans="1:10">
      <c r="A758" s="5"/>
      <c r="B758" s="5"/>
      <c r="C758" s="78"/>
      <c r="D758" s="78"/>
      <c r="E758" s="78"/>
      <c r="F758" s="10"/>
      <c r="G758" s="78"/>
      <c r="H758" s="78"/>
      <c r="I758" s="78"/>
      <c r="J758" s="104"/>
    </row>
    <row r="759" spans="1:10">
      <c r="A759" s="5"/>
      <c r="B759" s="5"/>
      <c r="C759" s="78"/>
      <c r="D759" s="78"/>
      <c r="E759" s="78"/>
      <c r="F759" s="10"/>
      <c r="G759" s="78"/>
      <c r="H759" s="78"/>
      <c r="I759" s="78"/>
      <c r="J759" s="104"/>
    </row>
    <row r="760" spans="1:10">
      <c r="A760" s="5"/>
      <c r="B760" s="5"/>
      <c r="C760" s="78"/>
      <c r="D760" s="78"/>
      <c r="E760" s="78"/>
      <c r="F760" s="10"/>
      <c r="G760" s="78"/>
      <c r="H760" s="78"/>
      <c r="I760" s="78"/>
      <c r="J760" s="104"/>
    </row>
    <row r="761" spans="1:10">
      <c r="A761" s="5"/>
      <c r="B761" s="5"/>
      <c r="C761" s="78"/>
      <c r="D761" s="78"/>
      <c r="E761" s="78"/>
      <c r="F761" s="10"/>
      <c r="G761" s="78"/>
      <c r="H761" s="78"/>
      <c r="I761" s="78"/>
      <c r="J761" s="104"/>
    </row>
    <row r="762" spans="1:10">
      <c r="A762" s="5"/>
      <c r="B762" s="5"/>
      <c r="C762" s="78"/>
      <c r="D762" s="78"/>
      <c r="E762" s="78"/>
      <c r="F762" s="10"/>
      <c r="G762" s="78"/>
      <c r="H762" s="78"/>
      <c r="I762" s="78"/>
      <c r="J762" s="104"/>
    </row>
    <row r="763" spans="1:10">
      <c r="A763" s="5"/>
      <c r="B763" s="5"/>
      <c r="C763" s="78"/>
      <c r="D763" s="78"/>
      <c r="E763" s="78"/>
      <c r="F763" s="10"/>
      <c r="G763" s="78"/>
      <c r="H763" s="78"/>
      <c r="I763" s="78"/>
      <c r="J763" s="104"/>
    </row>
    <row r="764" spans="1:10">
      <c r="A764" s="5"/>
      <c r="B764" s="5"/>
      <c r="C764" s="78"/>
      <c r="D764" s="78"/>
      <c r="E764" s="78"/>
      <c r="F764" s="10"/>
      <c r="G764" s="78"/>
      <c r="H764" s="78"/>
      <c r="I764" s="78"/>
      <c r="J764" s="104"/>
    </row>
    <row r="765" spans="1:10">
      <c r="A765" s="5"/>
      <c r="B765" s="5"/>
      <c r="C765" s="78"/>
      <c r="D765" s="78"/>
      <c r="E765" s="78"/>
      <c r="F765" s="10"/>
      <c r="G765" s="78"/>
      <c r="H765" s="78"/>
      <c r="I765" s="78"/>
      <c r="J765" s="104"/>
    </row>
    <row r="766" spans="1:10">
      <c r="A766" s="5"/>
      <c r="B766" s="5"/>
      <c r="C766" s="78"/>
      <c r="D766" s="78"/>
      <c r="E766" s="78"/>
      <c r="F766" s="10"/>
      <c r="G766" s="78"/>
      <c r="H766" s="78"/>
      <c r="I766" s="78"/>
      <c r="J766" s="104"/>
    </row>
    <row r="767" spans="1:10">
      <c r="A767" s="5"/>
      <c r="B767" s="5"/>
      <c r="C767" s="78"/>
      <c r="D767" s="78"/>
      <c r="E767" s="78"/>
      <c r="F767" s="10"/>
      <c r="G767" s="78"/>
      <c r="H767" s="78"/>
      <c r="I767" s="78"/>
      <c r="J767" s="104"/>
    </row>
    <row r="768" spans="1:10">
      <c r="A768" s="5"/>
      <c r="B768" s="5"/>
      <c r="C768" s="78"/>
      <c r="D768" s="78"/>
      <c r="E768" s="78"/>
      <c r="F768" s="10"/>
      <c r="G768" s="78"/>
      <c r="H768" s="78"/>
      <c r="I768" s="78"/>
      <c r="J768" s="104"/>
    </row>
    <row r="769" spans="1:10">
      <c r="A769" s="5"/>
      <c r="B769" s="5"/>
      <c r="C769" s="78"/>
      <c r="D769" s="78"/>
      <c r="E769" s="78"/>
      <c r="F769" s="10"/>
      <c r="G769" s="78"/>
      <c r="H769" s="78"/>
      <c r="I769" s="78"/>
      <c r="J769" s="104"/>
    </row>
    <row r="770" spans="1:10">
      <c r="A770" s="5"/>
      <c r="B770" s="5"/>
      <c r="C770" s="78"/>
      <c r="D770" s="78"/>
      <c r="E770" s="78"/>
      <c r="F770" s="10"/>
      <c r="G770" s="78"/>
      <c r="H770" s="78"/>
      <c r="I770" s="78"/>
      <c r="J770" s="104"/>
    </row>
    <row r="771" spans="1:10">
      <c r="A771" s="5"/>
      <c r="B771" s="5"/>
      <c r="C771" s="78"/>
      <c r="D771" s="78"/>
      <c r="E771" s="78"/>
      <c r="F771" s="10"/>
      <c r="G771" s="78"/>
      <c r="H771" s="78"/>
      <c r="I771" s="78"/>
      <c r="J771" s="104"/>
    </row>
    <row r="772" spans="1:10">
      <c r="A772" s="5"/>
      <c r="B772" s="5"/>
      <c r="C772" s="78"/>
      <c r="D772" s="78"/>
      <c r="E772" s="78"/>
      <c r="F772" s="10"/>
      <c r="G772" s="78"/>
      <c r="H772" s="78"/>
      <c r="I772" s="78"/>
      <c r="J772" s="104"/>
    </row>
    <row r="773" spans="1:10">
      <c r="A773" s="5"/>
      <c r="B773" s="5"/>
      <c r="C773" s="78"/>
      <c r="D773" s="78"/>
      <c r="E773" s="78"/>
      <c r="F773" s="10"/>
      <c r="G773" s="78"/>
      <c r="H773" s="78"/>
      <c r="I773" s="78"/>
      <c r="J773" s="104"/>
    </row>
    <row r="774" spans="1:10">
      <c r="A774" s="5"/>
      <c r="B774" s="5"/>
      <c r="C774" s="78"/>
      <c r="D774" s="78"/>
      <c r="E774" s="78"/>
      <c r="F774" s="10"/>
      <c r="G774" s="78"/>
      <c r="H774" s="78"/>
      <c r="I774" s="78"/>
      <c r="J774" s="104"/>
    </row>
    <row r="775" spans="1:10">
      <c r="A775" s="5"/>
      <c r="B775" s="5"/>
      <c r="C775" s="78"/>
      <c r="D775" s="78"/>
      <c r="E775" s="78"/>
      <c r="F775" s="10"/>
      <c r="G775" s="78"/>
      <c r="H775" s="78"/>
      <c r="I775" s="78"/>
      <c r="J775" s="104"/>
    </row>
  </sheetData>
  <sheetProtection password="8D0B" sheet="1" objects="1" scenarios="1" selectLockedCells="1"/>
  <mergeCells count="27">
    <mergeCell ref="D730:H730"/>
    <mergeCell ref="A5:E5"/>
    <mergeCell ref="A6:E6"/>
    <mergeCell ref="A9:A10"/>
    <mergeCell ref="B9:B10"/>
    <mergeCell ref="C9:C10"/>
    <mergeCell ref="D9:D10"/>
    <mergeCell ref="E9:E10"/>
    <mergeCell ref="A7:B7"/>
    <mergeCell ref="G7:H7"/>
    <mergeCell ref="F9:F10"/>
    <mergeCell ref="D106:H106"/>
    <mergeCell ref="D111:H111"/>
    <mergeCell ref="D161:H161"/>
    <mergeCell ref="D167:H167"/>
    <mergeCell ref="K9:K10"/>
    <mergeCell ref="D683:H683"/>
    <mergeCell ref="D690:J690"/>
    <mergeCell ref="A691:K691"/>
    <mergeCell ref="A2:K2"/>
    <mergeCell ref="A3:E3"/>
    <mergeCell ref="G3:J3"/>
    <mergeCell ref="A4:E4"/>
    <mergeCell ref="G4:J4"/>
    <mergeCell ref="D181:H181"/>
    <mergeCell ref="D186:H186"/>
    <mergeCell ref="D190:H190"/>
  </mergeCells>
  <phoneticPr fontId="42" type="noConversion"/>
  <printOptions horizontalCentered="1"/>
  <pageMargins left="0.43307086614173229" right="0.43307086614173229" top="0.55118110236220474" bottom="0.55118110236220474" header="0.51181102362204722" footer="0.31496062992125984"/>
  <pageSetup paperSize="9" scale="39" firstPageNumber="0" orientation="portrait" verticalDpi="597" r:id="rId1"/>
  <headerFooter alignWithMargins="0">
    <oddFooter>&amp;CTv. Osman Lordelo Guimarães, Quadra F, Lote 14 – Centro – Lauro de Freitas – Ba, CEP 42.700-000 – Tel. (71) 3797-2130 – CNPJ  32.690.778/0001-66</oddFooter>
  </headerFooter>
  <rowBreaks count="3" manualBreakCount="3">
    <brk id="163" max="10" man="1"/>
    <brk id="263" max="10" man="1"/>
    <brk id="309" max="10" man="1"/>
  </rowBreaks>
</worksheet>
</file>

<file path=xl/worksheets/sheet10.xml><?xml version="1.0" encoding="utf-8"?>
<worksheet xmlns="http://schemas.openxmlformats.org/spreadsheetml/2006/main" xmlns:r="http://schemas.openxmlformats.org/officeDocument/2006/relationships">
  <dimension ref="A2:H44"/>
  <sheetViews>
    <sheetView view="pageBreakPreview" zoomScaleSheetLayoutView="100" workbookViewId="0">
      <selection sqref="A1:XFD1048576"/>
    </sheetView>
  </sheetViews>
  <sheetFormatPr defaultColWidth="9" defaultRowHeight="15"/>
  <cols>
    <col min="1" max="1" width="12.140625" customWidth="1"/>
    <col min="2" max="6" width="9" customWidth="1"/>
    <col min="7" max="7" width="11.140625" customWidth="1"/>
    <col min="8" max="8" width="10.7109375" customWidth="1"/>
  </cols>
  <sheetData>
    <row r="2" spans="1:8" ht="15" customHeight="1">
      <c r="A2" s="1155" t="s">
        <v>2631</v>
      </c>
      <c r="B2" s="1155"/>
      <c r="C2" s="1155"/>
      <c r="D2" s="1155"/>
      <c r="E2" s="1155"/>
      <c r="F2" s="1155"/>
      <c r="G2" s="1155"/>
      <c r="H2" s="1155"/>
    </row>
    <row r="3" spans="1:8">
      <c r="A3" s="521" t="s">
        <v>2622</v>
      </c>
      <c r="B3" s="1159" t="s">
        <v>2632</v>
      </c>
      <c r="C3" s="1159"/>
      <c r="D3" s="1159"/>
      <c r="E3" s="1159"/>
      <c r="F3" s="1159"/>
      <c r="G3" s="1159"/>
      <c r="H3" s="528" t="s">
        <v>2633</v>
      </c>
    </row>
    <row r="4" spans="1:8" ht="27.75" customHeight="1">
      <c r="A4" s="523" t="s">
        <v>2625</v>
      </c>
      <c r="B4" s="1162" t="s">
        <v>2634</v>
      </c>
      <c r="C4" s="1162"/>
      <c r="D4" s="1162"/>
      <c r="E4" s="1162"/>
      <c r="F4" s="1162"/>
      <c r="G4" s="1162"/>
      <c r="H4" s="529">
        <f>69.17+16.45</f>
        <v>85.62</v>
      </c>
    </row>
    <row r="5" spans="1:8" ht="15" customHeight="1">
      <c r="A5" s="530" t="s">
        <v>2627</v>
      </c>
      <c r="B5" s="1157"/>
      <c r="C5" s="1157"/>
      <c r="D5" s="1157"/>
      <c r="E5" s="1157"/>
      <c r="F5" s="1157"/>
      <c r="G5" s="1157"/>
      <c r="H5" s="529"/>
    </row>
    <row r="6" spans="1:8" ht="15" customHeight="1">
      <c r="A6" s="530" t="s">
        <v>2629</v>
      </c>
      <c r="B6" s="1157"/>
      <c r="C6" s="1157"/>
      <c r="D6" s="1157"/>
      <c r="E6" s="1157"/>
      <c r="F6" s="1157"/>
      <c r="G6" s="1157"/>
      <c r="H6" s="529"/>
    </row>
    <row r="7" spans="1:8" ht="15" customHeight="1">
      <c r="A7" s="526"/>
      <c r="B7" s="1155" t="s">
        <v>2630</v>
      </c>
      <c r="C7" s="1155"/>
      <c r="D7" s="1155"/>
      <c r="E7" s="1155"/>
      <c r="F7" s="1155"/>
      <c r="G7" s="1155"/>
      <c r="H7" s="531">
        <f>SMALL(H4:H6,1)</f>
        <v>85.62</v>
      </c>
    </row>
    <row r="9" spans="1:8">
      <c r="A9" s="1155" t="s">
        <v>2635</v>
      </c>
      <c r="B9" s="1155"/>
      <c r="C9" s="1155"/>
      <c r="D9" s="1155"/>
      <c r="E9" s="1155"/>
      <c r="F9" s="1155"/>
      <c r="G9" s="1155"/>
      <c r="H9" s="1155"/>
    </row>
    <row r="10" spans="1:8" ht="42.6" customHeight="1">
      <c r="A10" s="521" t="s">
        <v>2622</v>
      </c>
      <c r="B10" s="1159" t="s">
        <v>2636</v>
      </c>
      <c r="C10" s="1159"/>
      <c r="D10" s="1159"/>
      <c r="E10" s="1159"/>
      <c r="F10" s="1159"/>
      <c r="G10" s="1159"/>
      <c r="H10" s="528" t="s">
        <v>2633</v>
      </c>
    </row>
    <row r="11" spans="1:8">
      <c r="A11" s="523" t="s">
        <v>2625</v>
      </c>
      <c r="B11" s="1162" t="s">
        <v>2637</v>
      </c>
      <c r="C11" s="1162"/>
      <c r="D11" s="1162"/>
      <c r="E11" s="1162"/>
      <c r="F11" s="1162"/>
      <c r="G11" s="1162"/>
      <c r="H11" s="529">
        <f>41.09+3.74</f>
        <v>44.830000000000005</v>
      </c>
    </row>
    <row r="12" spans="1:8">
      <c r="A12" s="530" t="s">
        <v>2627</v>
      </c>
      <c r="B12" s="1157"/>
      <c r="C12" s="1157"/>
      <c r="D12" s="1157"/>
      <c r="E12" s="1157"/>
      <c r="F12" s="1157"/>
      <c r="G12" s="1157"/>
      <c r="H12" s="529"/>
    </row>
    <row r="13" spans="1:8">
      <c r="A13" s="530" t="s">
        <v>2629</v>
      </c>
      <c r="B13" s="1157"/>
      <c r="C13" s="1157"/>
      <c r="D13" s="1157"/>
      <c r="E13" s="1157"/>
      <c r="F13" s="1157"/>
      <c r="G13" s="1157"/>
      <c r="H13" s="529"/>
    </row>
    <row r="14" spans="1:8">
      <c r="A14" s="526"/>
      <c r="B14" s="1155" t="s">
        <v>2630</v>
      </c>
      <c r="C14" s="1155"/>
      <c r="D14" s="1155"/>
      <c r="E14" s="1155"/>
      <c r="F14" s="1155"/>
      <c r="G14" s="1155"/>
      <c r="H14" s="531">
        <f t="shared" ref="H14" si="0">SMALL(H11:H13,1)</f>
        <v>44.830000000000005</v>
      </c>
    </row>
    <row r="16" spans="1:8">
      <c r="A16" s="1155" t="s">
        <v>2638</v>
      </c>
      <c r="B16" s="1155"/>
      <c r="C16" s="1155"/>
      <c r="D16" s="1155"/>
      <c r="E16" s="1155"/>
      <c r="F16" s="1155"/>
      <c r="G16" s="1155"/>
      <c r="H16" s="1155"/>
    </row>
    <row r="17" spans="1:8">
      <c r="A17" s="521" t="s">
        <v>2622</v>
      </c>
      <c r="B17" s="1159" t="s">
        <v>2639</v>
      </c>
      <c r="C17" s="1159"/>
      <c r="D17" s="1159"/>
      <c r="E17" s="1159"/>
      <c r="F17" s="1159"/>
      <c r="G17" s="1159"/>
      <c r="H17" s="528" t="s">
        <v>2633</v>
      </c>
    </row>
    <row r="18" spans="1:8" ht="30" customHeight="1">
      <c r="A18" s="523" t="s">
        <v>2625</v>
      </c>
      <c r="B18" s="1160" t="s">
        <v>2640</v>
      </c>
      <c r="C18" s="1160"/>
      <c r="D18" s="1160"/>
      <c r="E18" s="1160"/>
      <c r="F18" s="1160"/>
      <c r="G18" s="1160"/>
      <c r="H18" s="529">
        <f>70.251</f>
        <v>70.251000000000005</v>
      </c>
    </row>
    <row r="19" spans="1:8">
      <c r="A19" s="530" t="s">
        <v>2627</v>
      </c>
      <c r="B19" s="1157"/>
      <c r="C19" s="1157"/>
      <c r="D19" s="1157"/>
      <c r="E19" s="1157"/>
      <c r="F19" s="1157"/>
      <c r="G19" s="1157"/>
      <c r="H19" s="529"/>
    </row>
    <row r="20" spans="1:8">
      <c r="A20" s="530" t="s">
        <v>2629</v>
      </c>
      <c r="B20" s="1157"/>
      <c r="C20" s="1157"/>
      <c r="D20" s="1157"/>
      <c r="E20" s="1157"/>
      <c r="F20" s="1157"/>
      <c r="G20" s="1157"/>
      <c r="H20" s="529"/>
    </row>
    <row r="21" spans="1:8">
      <c r="A21" s="526"/>
      <c r="B21" s="1155" t="s">
        <v>2630</v>
      </c>
      <c r="C21" s="1155"/>
      <c r="D21" s="1155"/>
      <c r="E21" s="1155"/>
      <c r="F21" s="1155"/>
      <c r="G21" s="1155"/>
      <c r="H21" s="531">
        <f t="shared" ref="H21" si="1">SMALL(H18:H20,1)</f>
        <v>70.251000000000005</v>
      </c>
    </row>
    <row r="23" spans="1:8">
      <c r="A23" s="1155" t="s">
        <v>2641</v>
      </c>
      <c r="B23" s="1155"/>
      <c r="C23" s="1155"/>
      <c r="D23" s="1155"/>
      <c r="E23" s="1155"/>
      <c r="F23" s="1155"/>
      <c r="G23" s="1155"/>
      <c r="H23" s="1155"/>
    </row>
    <row r="24" spans="1:8" ht="15" customHeight="1">
      <c r="A24" s="521" t="s">
        <v>2622</v>
      </c>
      <c r="B24" s="1159" t="s">
        <v>2642</v>
      </c>
      <c r="C24" s="1159"/>
      <c r="D24" s="1159"/>
      <c r="E24" s="1159"/>
      <c r="F24" s="1159"/>
      <c r="G24" s="1159"/>
      <c r="H24" s="528" t="s">
        <v>2643</v>
      </c>
    </row>
    <row r="25" spans="1:8">
      <c r="A25" s="523" t="s">
        <v>2625</v>
      </c>
      <c r="B25" s="1161" t="s">
        <v>2644</v>
      </c>
      <c r="C25" s="1162"/>
      <c r="D25" s="1162"/>
      <c r="E25" s="1162"/>
      <c r="F25" s="1162"/>
      <c r="G25" s="1162"/>
      <c r="H25" s="529">
        <f>6936+4000</f>
        <v>10936</v>
      </c>
    </row>
    <row r="26" spans="1:8">
      <c r="A26" s="530" t="s">
        <v>2627</v>
      </c>
      <c r="B26" s="1157"/>
      <c r="C26" s="1157"/>
      <c r="D26" s="1157"/>
      <c r="E26" s="1157"/>
      <c r="F26" s="1157"/>
      <c r="G26" s="1157"/>
      <c r="H26" s="529"/>
    </row>
    <row r="27" spans="1:8">
      <c r="A27" s="530" t="s">
        <v>2629</v>
      </c>
      <c r="B27" s="1157"/>
      <c r="C27" s="1157"/>
      <c r="D27" s="1157"/>
      <c r="E27" s="1157"/>
      <c r="F27" s="1157"/>
      <c r="G27" s="1157"/>
      <c r="H27" s="529"/>
    </row>
    <row r="28" spans="1:8">
      <c r="A28" s="526"/>
      <c r="B28" s="1155" t="s">
        <v>2630</v>
      </c>
      <c r="C28" s="1155"/>
      <c r="D28" s="1155"/>
      <c r="E28" s="1155"/>
      <c r="F28" s="1155"/>
      <c r="G28" s="1155"/>
      <c r="H28" s="531">
        <f t="shared" ref="H28" si="2">SMALL(H25:H27,1)</f>
        <v>10936</v>
      </c>
    </row>
    <row r="30" spans="1:8">
      <c r="A30" s="1155" t="s">
        <v>2645</v>
      </c>
      <c r="B30" s="1155"/>
      <c r="C30" s="1155"/>
      <c r="D30" s="1155"/>
      <c r="E30" s="1155"/>
      <c r="F30" s="1155"/>
      <c r="G30" s="1155"/>
      <c r="H30" s="1155"/>
    </row>
    <row r="31" spans="1:8">
      <c r="A31" s="521" t="s">
        <v>2622</v>
      </c>
      <c r="B31" s="1159" t="s">
        <v>369</v>
      </c>
      <c r="C31" s="1159"/>
      <c r="D31" s="1159"/>
      <c r="E31" s="1159"/>
      <c r="F31" s="1159"/>
      <c r="G31" s="1159"/>
      <c r="H31" s="528" t="s">
        <v>2633</v>
      </c>
    </row>
    <row r="32" spans="1:8">
      <c r="A32" s="523" t="s">
        <v>2625</v>
      </c>
      <c r="B32" s="1160" t="s">
        <v>2646</v>
      </c>
      <c r="C32" s="1160"/>
      <c r="D32" s="1160"/>
      <c r="E32" s="1160"/>
      <c r="F32" s="1160"/>
      <c r="G32" s="1160"/>
      <c r="H32" s="529">
        <v>1836</v>
      </c>
    </row>
    <row r="33" spans="1:8">
      <c r="A33" s="530" t="s">
        <v>2627</v>
      </c>
      <c r="B33" s="1157"/>
      <c r="C33" s="1157"/>
      <c r="D33" s="1157"/>
      <c r="E33" s="1157"/>
      <c r="F33" s="1157"/>
      <c r="G33" s="1157"/>
      <c r="H33" s="529"/>
    </row>
    <row r="34" spans="1:8">
      <c r="A34" s="530" t="s">
        <v>2629</v>
      </c>
      <c r="B34" s="1157"/>
      <c r="C34" s="1157"/>
      <c r="D34" s="1157"/>
      <c r="E34" s="1157"/>
      <c r="F34" s="1157"/>
      <c r="G34" s="1157"/>
      <c r="H34" s="529"/>
    </row>
    <row r="35" spans="1:8">
      <c r="A35" s="526"/>
      <c r="B35" s="1155" t="s">
        <v>2630</v>
      </c>
      <c r="C35" s="1155"/>
      <c r="D35" s="1155"/>
      <c r="E35" s="1155"/>
      <c r="F35" s="1155"/>
      <c r="G35" s="1155"/>
      <c r="H35" s="531">
        <f t="shared" ref="H35" si="3">SMALL(H32:H34,1)</f>
        <v>1836</v>
      </c>
    </row>
    <row r="37" spans="1:8" ht="14.45" customHeight="1">
      <c r="A37" s="1155"/>
      <c r="B37" s="1155"/>
      <c r="C37" s="1155"/>
      <c r="D37" s="1155"/>
      <c r="E37" s="1155"/>
      <c r="F37" s="1155"/>
      <c r="G37" s="1155"/>
      <c r="H37" s="1155"/>
    </row>
    <row r="38" spans="1:8" ht="15" customHeight="1">
      <c r="A38" s="521"/>
      <c r="B38" s="1159" t="s">
        <v>531</v>
      </c>
      <c r="C38" s="1159"/>
      <c r="D38" s="1159"/>
      <c r="E38" s="1159"/>
      <c r="F38" s="1159"/>
      <c r="G38" s="1159"/>
      <c r="H38" s="528"/>
    </row>
    <row r="39" spans="1:8" ht="15" customHeight="1">
      <c r="A39" s="521" t="s">
        <v>2622</v>
      </c>
      <c r="B39" s="1159" t="s">
        <v>2647</v>
      </c>
      <c r="C39" s="1159"/>
      <c r="D39" s="1159"/>
      <c r="E39" s="1159"/>
      <c r="F39" s="1159"/>
      <c r="G39" s="1159"/>
      <c r="H39" s="528" t="s">
        <v>2643</v>
      </c>
    </row>
    <row r="40" spans="1:8" ht="28.15" customHeight="1">
      <c r="A40" s="523" t="s">
        <v>2625</v>
      </c>
      <c r="B40" s="1157" t="s">
        <v>2648</v>
      </c>
      <c r="C40" s="1157"/>
      <c r="D40" s="1157"/>
      <c r="E40" s="1157"/>
      <c r="F40" s="1157"/>
      <c r="G40" s="1157"/>
      <c r="H40" s="529">
        <v>3031.9</v>
      </c>
    </row>
    <row r="41" spans="1:8" ht="15" customHeight="1">
      <c r="A41" s="530" t="s">
        <v>2627</v>
      </c>
      <c r="H41" s="529"/>
    </row>
    <row r="42" spans="1:8" ht="15" customHeight="1">
      <c r="A42" s="530" t="s">
        <v>2629</v>
      </c>
      <c r="B42" s="1157"/>
      <c r="C42" s="1157"/>
      <c r="D42" s="1157"/>
      <c r="E42" s="1157"/>
      <c r="F42" s="1157"/>
      <c r="G42" s="1157"/>
      <c r="H42" s="529"/>
    </row>
    <row r="43" spans="1:8">
      <c r="A43" s="526"/>
      <c r="B43" s="1155" t="s">
        <v>2630</v>
      </c>
      <c r="C43" s="1155"/>
      <c r="D43" s="1155"/>
      <c r="E43" s="1155"/>
      <c r="F43" s="1155"/>
      <c r="G43" s="1155"/>
      <c r="H43" s="531">
        <f>SMALL(H40:H42,1)</f>
        <v>3031.9</v>
      </c>
    </row>
    <row r="44" spans="1:8" ht="15" customHeight="1">
      <c r="A44" s="1155"/>
      <c r="B44" s="1155"/>
      <c r="C44" s="1155"/>
      <c r="D44" s="1155"/>
      <c r="E44" s="1155"/>
      <c r="F44" s="1155"/>
      <c r="G44" s="1155"/>
      <c r="H44" s="1155"/>
    </row>
  </sheetData>
  <sheetProtection password="8D0B" sheet="1" objects="1" scenarios="1" selectLockedCells="1" selectUnlockedCells="1"/>
  <mergeCells count="37">
    <mergeCell ref="B43:G43"/>
    <mergeCell ref="A44:H44"/>
    <mergeCell ref="B38:G38"/>
    <mergeCell ref="B39:G39"/>
    <mergeCell ref="B40:G40"/>
    <mergeCell ref="B42:G42"/>
    <mergeCell ref="A9:H9"/>
    <mergeCell ref="B10:G10"/>
    <mergeCell ref="B11:G11"/>
    <mergeCell ref="B7:G7"/>
    <mergeCell ref="A2:H2"/>
    <mergeCell ref="B3:G3"/>
    <mergeCell ref="B4:G4"/>
    <mergeCell ref="B5:G5"/>
    <mergeCell ref="B6:G6"/>
    <mergeCell ref="B12:G12"/>
    <mergeCell ref="B13:G13"/>
    <mergeCell ref="B14:G14"/>
    <mergeCell ref="A16:H16"/>
    <mergeCell ref="B17:G17"/>
    <mergeCell ref="B18:G18"/>
    <mergeCell ref="B19:G19"/>
    <mergeCell ref="B20:G20"/>
    <mergeCell ref="B21:G21"/>
    <mergeCell ref="A23:H23"/>
    <mergeCell ref="B24:G24"/>
    <mergeCell ref="B25:G25"/>
    <mergeCell ref="B26:G26"/>
    <mergeCell ref="B27:G27"/>
    <mergeCell ref="B28:G28"/>
    <mergeCell ref="B35:G35"/>
    <mergeCell ref="A37:H37"/>
    <mergeCell ref="A30:H30"/>
    <mergeCell ref="B31:G31"/>
    <mergeCell ref="B32:G32"/>
    <mergeCell ref="B33:G33"/>
    <mergeCell ref="B34:G34"/>
  </mergeCells>
  <printOptions horizontalCentered="1"/>
  <pageMargins left="0.51180555555555551" right="0.51180555555555551" top="0.78749999999999998" bottom="0.78749999999999998" header="0.51180555555555551" footer="0.51180555555555551"/>
  <pageSetup paperSize="9" scale="78" firstPageNumber="0" orientation="portrait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:G69"/>
  <sheetViews>
    <sheetView view="pageBreakPreview" zoomScale="115" zoomScaleSheetLayoutView="115" workbookViewId="0">
      <selection activeCell="A6" sqref="A6:F6"/>
    </sheetView>
  </sheetViews>
  <sheetFormatPr defaultColWidth="9" defaultRowHeight="15"/>
  <sheetData>
    <row r="1" spans="1:7" ht="15" customHeight="1">
      <c r="A1" s="1155" t="s">
        <v>2649</v>
      </c>
      <c r="B1" s="1155"/>
      <c r="C1" s="1155"/>
      <c r="D1" s="1155"/>
      <c r="E1" s="1155"/>
      <c r="F1" s="1155"/>
      <c r="G1" s="1156" t="s">
        <v>2650</v>
      </c>
    </row>
    <row r="2" spans="1:7" ht="15" customHeight="1">
      <c r="A2" s="1156" t="s">
        <v>1347</v>
      </c>
      <c r="B2" s="1156"/>
      <c r="C2" s="1156"/>
      <c r="D2" s="1156"/>
      <c r="E2" s="1156"/>
      <c r="F2" s="1156"/>
      <c r="G2" s="1156"/>
    </row>
    <row r="3" spans="1:7" ht="15" customHeight="1">
      <c r="A3" s="1157" t="s">
        <v>2651</v>
      </c>
      <c r="B3" s="1157"/>
      <c r="C3" s="1157"/>
      <c r="D3" s="1157"/>
      <c r="E3" s="1157"/>
      <c r="F3" s="1157"/>
      <c r="G3" s="525">
        <v>1800</v>
      </c>
    </row>
    <row r="4" spans="1:7" ht="15" customHeight="1">
      <c r="A4" s="1157" t="s">
        <v>2652</v>
      </c>
      <c r="B4" s="1157"/>
      <c r="C4" s="1157"/>
      <c r="D4" s="1157"/>
      <c r="E4" s="1157"/>
      <c r="F4" s="1157"/>
      <c r="G4" s="525">
        <v>3036</v>
      </c>
    </row>
    <row r="5" spans="1:7" ht="15" customHeight="1">
      <c r="A5" s="1157" t="s">
        <v>2653</v>
      </c>
      <c r="B5" s="1157"/>
      <c r="C5" s="1157"/>
      <c r="D5" s="1157"/>
      <c r="E5" s="1157"/>
      <c r="F5" s="1157"/>
      <c r="G5" s="525">
        <v>1124</v>
      </c>
    </row>
    <row r="6" spans="1:7" ht="15" customHeight="1">
      <c r="A6" s="1155" t="s">
        <v>2654</v>
      </c>
      <c r="B6" s="1155"/>
      <c r="C6" s="1155"/>
      <c r="D6" s="1155"/>
      <c r="E6" s="1155"/>
      <c r="F6" s="1155"/>
      <c r="G6" s="527">
        <f>SMALL(G3:G5,1)</f>
        <v>1124</v>
      </c>
    </row>
    <row r="8" spans="1:7" ht="15" customHeight="1">
      <c r="A8" s="1155" t="s">
        <v>2655</v>
      </c>
      <c r="B8" s="1155"/>
      <c r="C8" s="1155"/>
      <c r="D8" s="1155"/>
      <c r="E8" s="1155"/>
      <c r="F8" s="1155"/>
      <c r="G8" s="1156" t="s">
        <v>2656</v>
      </c>
    </row>
    <row r="9" spans="1:7" ht="15" customHeight="1">
      <c r="A9" s="1156" t="s">
        <v>2657</v>
      </c>
      <c r="B9" s="1156"/>
      <c r="C9" s="1156"/>
      <c r="D9" s="1156"/>
      <c r="E9" s="1156"/>
      <c r="F9" s="1156"/>
      <c r="G9" s="1156"/>
    </row>
    <row r="10" spans="1:7" ht="15" customHeight="1">
      <c r="A10" s="1157" t="s">
        <v>2651</v>
      </c>
      <c r="B10" s="1157"/>
      <c r="C10" s="1157"/>
      <c r="D10" s="1157"/>
      <c r="E10" s="1157"/>
      <c r="F10" s="1157"/>
      <c r="G10" s="525">
        <v>1600</v>
      </c>
    </row>
    <row r="11" spans="1:7" ht="15" customHeight="1">
      <c r="A11" s="1157" t="s">
        <v>2652</v>
      </c>
      <c r="B11" s="1157"/>
      <c r="C11" s="1157"/>
      <c r="D11" s="1157"/>
      <c r="E11" s="1157"/>
      <c r="F11" s="1157"/>
      <c r="G11" s="525">
        <v>1080</v>
      </c>
    </row>
    <row r="12" spans="1:7" ht="15" customHeight="1">
      <c r="A12" s="1157" t="s">
        <v>2653</v>
      </c>
      <c r="B12" s="1157"/>
      <c r="C12" s="1157"/>
      <c r="D12" s="1157"/>
      <c r="E12" s="1157"/>
      <c r="F12" s="1157"/>
      <c r="G12" s="525">
        <v>1250</v>
      </c>
    </row>
    <row r="13" spans="1:7" ht="15" customHeight="1">
      <c r="A13" s="1155" t="s">
        <v>2654</v>
      </c>
      <c r="B13" s="1155"/>
      <c r="C13" s="1155"/>
      <c r="D13" s="1155"/>
      <c r="E13" s="1155"/>
      <c r="F13" s="1155"/>
      <c r="G13" s="527">
        <f>SMALL(G10:G12,1)</f>
        <v>1080</v>
      </c>
    </row>
    <row r="15" spans="1:7" ht="15" customHeight="1">
      <c r="A15" s="1155" t="s">
        <v>2658</v>
      </c>
      <c r="B15" s="1155"/>
      <c r="C15" s="1155"/>
      <c r="D15" s="1155"/>
      <c r="E15" s="1155"/>
      <c r="F15" s="1155"/>
      <c r="G15" s="1156" t="s">
        <v>2650</v>
      </c>
    </row>
    <row r="16" spans="1:7" ht="15" customHeight="1">
      <c r="A16" s="1156" t="s">
        <v>1351</v>
      </c>
      <c r="B16" s="1156"/>
      <c r="C16" s="1156"/>
      <c r="D16" s="1156"/>
      <c r="E16" s="1156"/>
      <c r="F16" s="1156"/>
      <c r="G16" s="1156"/>
    </row>
    <row r="17" spans="1:7" ht="15" customHeight="1">
      <c r="A17" s="1157" t="s">
        <v>2651</v>
      </c>
      <c r="B17" s="1157"/>
      <c r="C17" s="1157"/>
      <c r="D17" s="1157"/>
      <c r="E17" s="1157"/>
      <c r="F17" s="1157"/>
      <c r="G17" s="524">
        <f>4800/105</f>
        <v>45.714285714285715</v>
      </c>
    </row>
    <row r="18" spans="1:7" ht="15" customHeight="1">
      <c r="A18" s="1157" t="s">
        <v>2652</v>
      </c>
      <c r="B18" s="1157"/>
      <c r="C18" s="1157"/>
      <c r="D18" s="1157"/>
      <c r="E18" s="1157"/>
      <c r="F18" s="1157"/>
      <c r="G18" s="525">
        <f>8400/105</f>
        <v>80</v>
      </c>
    </row>
    <row r="19" spans="1:7" ht="15" customHeight="1">
      <c r="A19" s="1157" t="s">
        <v>2653</v>
      </c>
      <c r="B19" s="1157"/>
      <c r="C19" s="1157"/>
      <c r="D19" s="1157"/>
      <c r="E19" s="1157"/>
      <c r="F19" s="1157"/>
      <c r="G19" s="525">
        <f>2500/105</f>
        <v>23.80952380952381</v>
      </c>
    </row>
    <row r="20" spans="1:7" ht="15" customHeight="1">
      <c r="A20" s="1155" t="s">
        <v>2654</v>
      </c>
      <c r="B20" s="1155"/>
      <c r="C20" s="1155"/>
      <c r="D20" s="1155"/>
      <c r="E20" s="1155"/>
      <c r="F20" s="1155"/>
      <c r="G20" s="527">
        <f>SMALL(G17:G19,1)</f>
        <v>23.80952380952381</v>
      </c>
    </row>
    <row r="22" spans="1:7" ht="15" customHeight="1">
      <c r="A22" s="1155" t="s">
        <v>2659</v>
      </c>
      <c r="B22" s="1155"/>
      <c r="C22" s="1155"/>
      <c r="D22" s="1155"/>
      <c r="E22" s="1155"/>
      <c r="F22" s="1155"/>
      <c r="G22" s="1156" t="s">
        <v>2650</v>
      </c>
    </row>
    <row r="23" spans="1:7" ht="15" customHeight="1">
      <c r="A23" s="1156" t="s">
        <v>2660</v>
      </c>
      <c r="B23" s="1156"/>
      <c r="C23" s="1156"/>
      <c r="D23" s="1156"/>
      <c r="E23" s="1156"/>
      <c r="F23" s="1156"/>
      <c r="G23" s="1156"/>
    </row>
    <row r="24" spans="1:7" ht="15" customHeight="1">
      <c r="A24" s="1157" t="s">
        <v>2651</v>
      </c>
      <c r="B24" s="1157"/>
      <c r="C24" s="1157"/>
      <c r="D24" s="1157"/>
      <c r="E24" s="1157"/>
      <c r="F24" s="1157"/>
      <c r="G24" s="525">
        <f>500/10</f>
        <v>50</v>
      </c>
    </row>
    <row r="25" spans="1:7" ht="15" customHeight="1">
      <c r="A25" s="1157" t="s">
        <v>2652</v>
      </c>
      <c r="B25" s="1157"/>
      <c r="C25" s="1157"/>
      <c r="D25" s="1157"/>
      <c r="E25" s="1157"/>
      <c r="F25" s="1157"/>
      <c r="G25" s="525">
        <f>720/10</f>
        <v>72</v>
      </c>
    </row>
    <row r="26" spans="1:7" ht="15" customHeight="1">
      <c r="A26" s="1157" t="s">
        <v>2653</v>
      </c>
      <c r="B26" s="1157"/>
      <c r="C26" s="1157"/>
      <c r="D26" s="1157"/>
      <c r="E26" s="1157"/>
      <c r="F26" s="1157"/>
      <c r="G26" s="525">
        <f>1950/10</f>
        <v>195</v>
      </c>
    </row>
    <row r="27" spans="1:7" ht="15" customHeight="1">
      <c r="A27" s="1155" t="s">
        <v>2654</v>
      </c>
      <c r="B27" s="1155"/>
      <c r="C27" s="1155"/>
      <c r="D27" s="1155"/>
      <c r="E27" s="1155"/>
      <c r="F27" s="1155"/>
      <c r="G27" s="527">
        <f>SMALL(G24:G26,1)</f>
        <v>50</v>
      </c>
    </row>
    <row r="29" spans="1:7" ht="15" customHeight="1">
      <c r="A29" s="1155" t="s">
        <v>2661</v>
      </c>
      <c r="B29" s="1155"/>
      <c r="C29" s="1155"/>
      <c r="D29" s="1155"/>
      <c r="E29" s="1155"/>
      <c r="F29" s="1155"/>
      <c r="G29" s="1156" t="s">
        <v>2662</v>
      </c>
    </row>
    <row r="30" spans="1:7" ht="15" customHeight="1">
      <c r="A30" s="1156" t="s">
        <v>1355</v>
      </c>
      <c r="B30" s="1156"/>
      <c r="C30" s="1156"/>
      <c r="D30" s="1156"/>
      <c r="E30" s="1156"/>
      <c r="F30" s="1156"/>
      <c r="G30" s="1156"/>
    </row>
    <row r="31" spans="1:7" ht="15" customHeight="1">
      <c r="A31" s="1157" t="s">
        <v>2651</v>
      </c>
      <c r="B31" s="1157"/>
      <c r="C31" s="1157"/>
      <c r="D31" s="1157"/>
      <c r="E31" s="1157"/>
      <c r="F31" s="1157"/>
      <c r="G31" s="524">
        <v>200</v>
      </c>
    </row>
    <row r="32" spans="1:7" ht="15" customHeight="1">
      <c r="A32" s="1157" t="s">
        <v>2652</v>
      </c>
      <c r="B32" s="1157"/>
      <c r="C32" s="1157"/>
      <c r="D32" s="1157"/>
      <c r="E32" s="1157"/>
      <c r="F32" s="1157"/>
      <c r="G32" s="525">
        <v>200</v>
      </c>
    </row>
    <row r="33" spans="1:7" ht="15" customHeight="1">
      <c r="A33" s="1157" t="s">
        <v>2653</v>
      </c>
      <c r="B33" s="1157"/>
      <c r="C33" s="1157"/>
      <c r="D33" s="1157"/>
      <c r="E33" s="1157"/>
      <c r="F33" s="1157"/>
      <c r="G33" s="525">
        <v>725</v>
      </c>
    </row>
    <row r="34" spans="1:7" ht="15" customHeight="1">
      <c r="A34" s="1155" t="s">
        <v>2654</v>
      </c>
      <c r="B34" s="1155"/>
      <c r="C34" s="1155"/>
      <c r="D34" s="1155"/>
      <c r="E34" s="1155"/>
      <c r="F34" s="1155"/>
      <c r="G34" s="527">
        <f>SMALL(G31:G33,1)</f>
        <v>200</v>
      </c>
    </row>
    <row r="36" spans="1:7" ht="15" customHeight="1">
      <c r="A36" s="1155" t="s">
        <v>2663</v>
      </c>
      <c r="B36" s="1155"/>
      <c r="C36" s="1155"/>
      <c r="D36" s="1155"/>
      <c r="E36" s="1155"/>
      <c r="F36" s="1155"/>
      <c r="G36" s="1156" t="s">
        <v>2650</v>
      </c>
    </row>
    <row r="37" spans="1:7" ht="15" customHeight="1">
      <c r="A37" s="1156" t="s">
        <v>1357</v>
      </c>
      <c r="B37" s="1156"/>
      <c r="C37" s="1156"/>
      <c r="D37" s="1156"/>
      <c r="E37" s="1156"/>
      <c r="F37" s="1156"/>
      <c r="G37" s="1156"/>
    </row>
    <row r="38" spans="1:7" ht="15" customHeight="1">
      <c r="A38" s="1157" t="s">
        <v>2651</v>
      </c>
      <c r="B38" s="1157"/>
      <c r="C38" s="1157"/>
      <c r="D38" s="1157"/>
      <c r="E38" s="1157"/>
      <c r="F38" s="1157"/>
      <c r="G38" s="524">
        <v>1200</v>
      </c>
    </row>
    <row r="39" spans="1:7" ht="15" customHeight="1">
      <c r="A39" s="1157" t="s">
        <v>2652</v>
      </c>
      <c r="B39" s="1157"/>
      <c r="C39" s="1157"/>
      <c r="D39" s="1157"/>
      <c r="E39" s="1157"/>
      <c r="F39" s="1157"/>
      <c r="G39" s="525">
        <v>2000</v>
      </c>
    </row>
    <row r="40" spans="1:7" ht="15" customHeight="1">
      <c r="A40" s="1157" t="s">
        <v>2653</v>
      </c>
      <c r="B40" s="1157"/>
      <c r="C40" s="1157"/>
      <c r="D40" s="1157"/>
      <c r="E40" s="1157"/>
      <c r="F40" s="1157"/>
      <c r="G40" s="525">
        <v>1750</v>
      </c>
    </row>
    <row r="41" spans="1:7">
      <c r="A41" s="1155" t="s">
        <v>2654</v>
      </c>
      <c r="B41" s="1155"/>
      <c r="C41" s="1155"/>
      <c r="D41" s="1155"/>
      <c r="E41" s="1155"/>
      <c r="F41" s="1155"/>
      <c r="G41" s="527">
        <f>SMALL(G37:G40,1)</f>
        <v>1200</v>
      </c>
    </row>
    <row r="43" spans="1:7" ht="15" customHeight="1">
      <c r="A43" s="1155" t="s">
        <v>2664</v>
      </c>
      <c r="B43" s="1155"/>
      <c r="C43" s="1155"/>
      <c r="D43" s="1155"/>
      <c r="E43" s="1155"/>
      <c r="F43" s="1155"/>
      <c r="G43" s="1156" t="s">
        <v>2650</v>
      </c>
    </row>
    <row r="44" spans="1:7" ht="15" customHeight="1">
      <c r="A44" s="1156" t="s">
        <v>2665</v>
      </c>
      <c r="B44" s="1156"/>
      <c r="C44" s="1156"/>
      <c r="D44" s="1156"/>
      <c r="E44" s="1156"/>
      <c r="F44" s="1156"/>
      <c r="G44" s="1156"/>
    </row>
    <row r="45" spans="1:7" ht="15" customHeight="1">
      <c r="A45" s="1157" t="s">
        <v>2651</v>
      </c>
      <c r="B45" s="1157"/>
      <c r="C45" s="1157"/>
      <c r="D45" s="1157"/>
      <c r="E45" s="1157"/>
      <c r="F45" s="1157"/>
      <c r="G45" s="524">
        <v>1200</v>
      </c>
    </row>
    <row r="46" spans="1:7" ht="15" customHeight="1">
      <c r="A46" s="1157" t="s">
        <v>2652</v>
      </c>
      <c r="B46" s="1157"/>
      <c r="C46" s="1157"/>
      <c r="D46" s="1157"/>
      <c r="E46" s="1157"/>
      <c r="F46" s="1157"/>
      <c r="G46" s="525">
        <v>1850</v>
      </c>
    </row>
    <row r="47" spans="1:7" ht="15" customHeight="1">
      <c r="A47" s="1157" t="s">
        <v>2653</v>
      </c>
      <c r="B47" s="1157"/>
      <c r="C47" s="1157"/>
      <c r="D47" s="1157"/>
      <c r="E47" s="1157"/>
      <c r="F47" s="1157"/>
      <c r="G47" s="525">
        <v>1750</v>
      </c>
    </row>
    <row r="48" spans="1:7" ht="15" customHeight="1">
      <c r="A48" s="1155" t="s">
        <v>2654</v>
      </c>
      <c r="B48" s="1155"/>
      <c r="C48" s="1155"/>
      <c r="D48" s="1155"/>
      <c r="E48" s="1155"/>
      <c r="F48" s="1155"/>
      <c r="G48" s="527">
        <f>SMALL(G44:G47,1)</f>
        <v>1200</v>
      </c>
    </row>
    <row r="50" spans="1:7" ht="15" customHeight="1">
      <c r="A50" s="1155" t="s">
        <v>2666</v>
      </c>
      <c r="B50" s="1155"/>
      <c r="C50" s="1155"/>
      <c r="D50" s="1155"/>
      <c r="E50" s="1155"/>
      <c r="F50" s="1155"/>
      <c r="G50" s="1156" t="s">
        <v>2650</v>
      </c>
    </row>
    <row r="51" spans="1:7" ht="15" customHeight="1">
      <c r="A51" s="1156" t="s">
        <v>1361</v>
      </c>
      <c r="B51" s="1156"/>
      <c r="C51" s="1156"/>
      <c r="D51" s="1156"/>
      <c r="E51" s="1156"/>
      <c r="F51" s="1156"/>
      <c r="G51" s="1156"/>
    </row>
    <row r="52" spans="1:7" ht="15" customHeight="1">
      <c r="A52" s="1157" t="s">
        <v>2651</v>
      </c>
      <c r="B52" s="1157"/>
      <c r="C52" s="1157"/>
      <c r="D52" s="1157"/>
      <c r="E52" s="1157"/>
      <c r="F52" s="1157"/>
      <c r="G52" s="524">
        <f>2500/37</f>
        <v>67.567567567567565</v>
      </c>
    </row>
    <row r="53" spans="1:7" ht="15" customHeight="1">
      <c r="A53" s="1157" t="s">
        <v>2652</v>
      </c>
      <c r="B53" s="1157"/>
      <c r="C53" s="1157"/>
      <c r="D53" s="1157"/>
      <c r="E53" s="1157"/>
      <c r="F53" s="1157"/>
      <c r="G53" s="525">
        <f>1735/37</f>
        <v>46.891891891891895</v>
      </c>
    </row>
    <row r="54" spans="1:7" ht="15" customHeight="1">
      <c r="A54" s="1157" t="s">
        <v>2653</v>
      </c>
      <c r="B54" s="1157"/>
      <c r="C54" s="1157"/>
      <c r="D54" s="1157"/>
      <c r="E54" s="1157"/>
      <c r="F54" s="1157"/>
      <c r="G54" s="525">
        <f>2040/37</f>
        <v>55.135135135135137</v>
      </c>
    </row>
    <row r="55" spans="1:7" ht="15" customHeight="1">
      <c r="A55" s="1155" t="s">
        <v>2654</v>
      </c>
      <c r="B55" s="1155"/>
      <c r="C55" s="1155"/>
      <c r="D55" s="1155"/>
      <c r="E55" s="1155"/>
      <c r="F55" s="1155"/>
      <c r="G55" s="527">
        <f>SMALL(G51:G54,1)</f>
        <v>46.891891891891895</v>
      </c>
    </row>
    <row r="57" spans="1:7" ht="15" customHeight="1">
      <c r="A57" s="1155" t="s">
        <v>2667</v>
      </c>
      <c r="B57" s="1155"/>
      <c r="C57" s="1155"/>
      <c r="D57" s="1155"/>
      <c r="E57" s="1155"/>
      <c r="F57" s="1155"/>
      <c r="G57" s="1156" t="s">
        <v>2650</v>
      </c>
    </row>
    <row r="58" spans="1:7" ht="15" customHeight="1">
      <c r="A58" s="1156" t="s">
        <v>1363</v>
      </c>
      <c r="B58" s="1156"/>
      <c r="C58" s="1156"/>
      <c r="D58" s="1156"/>
      <c r="E58" s="1156"/>
      <c r="F58" s="1156"/>
      <c r="G58" s="1156"/>
    </row>
    <row r="59" spans="1:7" ht="15" customHeight="1">
      <c r="A59" s="1157" t="s">
        <v>2651</v>
      </c>
      <c r="B59" s="1157"/>
      <c r="C59" s="1157"/>
      <c r="D59" s="1157"/>
      <c r="E59" s="1157"/>
      <c r="F59" s="1157"/>
      <c r="G59" s="524">
        <v>600</v>
      </c>
    </row>
    <row r="60" spans="1:7" ht="15" customHeight="1">
      <c r="A60" s="1157" t="s">
        <v>2652</v>
      </c>
      <c r="B60" s="1157"/>
      <c r="C60" s="1157"/>
      <c r="D60" s="1157"/>
      <c r="E60" s="1157"/>
      <c r="F60" s="1157"/>
      <c r="G60" s="525">
        <v>650</v>
      </c>
    </row>
    <row r="61" spans="1:7" ht="15" customHeight="1">
      <c r="A61" s="1157" t="s">
        <v>2653</v>
      </c>
      <c r="B61" s="1157"/>
      <c r="C61" s="1157"/>
      <c r="D61" s="1157"/>
      <c r="E61" s="1157"/>
      <c r="F61" s="1157"/>
      <c r="G61" s="525">
        <v>695</v>
      </c>
    </row>
    <row r="62" spans="1:7" ht="15" customHeight="1">
      <c r="A62" s="1155" t="s">
        <v>2654</v>
      </c>
      <c r="B62" s="1155"/>
      <c r="C62" s="1155"/>
      <c r="D62" s="1155"/>
      <c r="E62" s="1155"/>
      <c r="F62" s="1155"/>
      <c r="G62" s="527">
        <f>SMALL(G58:G61,1)</f>
        <v>600</v>
      </c>
    </row>
    <row r="64" spans="1:7" ht="15" customHeight="1">
      <c r="A64" s="1155" t="s">
        <v>2668</v>
      </c>
      <c r="B64" s="1155"/>
      <c r="C64" s="1155"/>
      <c r="D64" s="1155"/>
      <c r="E64" s="1155"/>
      <c r="F64" s="1155"/>
      <c r="G64" s="1156" t="s">
        <v>2650</v>
      </c>
    </row>
    <row r="65" spans="1:7" ht="15" customHeight="1">
      <c r="A65" s="1156" t="s">
        <v>2669</v>
      </c>
      <c r="B65" s="1156"/>
      <c r="C65" s="1156"/>
      <c r="D65" s="1156"/>
      <c r="E65" s="1156"/>
      <c r="F65" s="1156"/>
      <c r="G65" s="1156"/>
    </row>
    <row r="66" spans="1:7" ht="15" customHeight="1">
      <c r="A66" s="1157" t="s">
        <v>2651</v>
      </c>
      <c r="B66" s="1157"/>
      <c r="C66" s="1157"/>
      <c r="D66" s="1157"/>
      <c r="E66" s="1157"/>
      <c r="F66" s="1157"/>
      <c r="G66" s="524">
        <v>600</v>
      </c>
    </row>
    <row r="67" spans="1:7" ht="15" customHeight="1">
      <c r="A67" s="1157" t="s">
        <v>2652</v>
      </c>
      <c r="B67" s="1157"/>
      <c r="C67" s="1157"/>
      <c r="D67" s="1157"/>
      <c r="E67" s="1157"/>
      <c r="F67" s="1157"/>
      <c r="G67" s="525">
        <v>650</v>
      </c>
    </row>
    <row r="68" spans="1:7" ht="15" customHeight="1">
      <c r="A68" s="1157" t="s">
        <v>2653</v>
      </c>
      <c r="B68" s="1157"/>
      <c r="C68" s="1157"/>
      <c r="D68" s="1157"/>
      <c r="E68" s="1157"/>
      <c r="F68" s="1157"/>
      <c r="G68" s="525">
        <v>695</v>
      </c>
    </row>
    <row r="69" spans="1:7" ht="15" customHeight="1">
      <c r="A69" s="1155" t="s">
        <v>2654</v>
      </c>
      <c r="B69" s="1155"/>
      <c r="C69" s="1155"/>
      <c r="D69" s="1155"/>
      <c r="E69" s="1155"/>
      <c r="F69" s="1155"/>
      <c r="G69" s="527">
        <f>SMALL(G65:G68,1)</f>
        <v>600</v>
      </c>
    </row>
  </sheetData>
  <sheetProtection password="8D0B" sheet="1" objects="1" scenarios="1" selectLockedCells="1" selectUnlockedCells="1"/>
  <mergeCells count="70">
    <mergeCell ref="A1:F1"/>
    <mergeCell ref="G1:G2"/>
    <mergeCell ref="A2:F2"/>
    <mergeCell ref="A3:F3"/>
    <mergeCell ref="A4:F4"/>
    <mergeCell ref="A5:F5"/>
    <mergeCell ref="A6:F6"/>
    <mergeCell ref="A8:F8"/>
    <mergeCell ref="G8:G9"/>
    <mergeCell ref="A9:F9"/>
    <mergeCell ref="A10:F10"/>
    <mergeCell ref="A11:F11"/>
    <mergeCell ref="A12:F12"/>
    <mergeCell ref="A13:F13"/>
    <mergeCell ref="A15:F15"/>
    <mergeCell ref="G15:G16"/>
    <mergeCell ref="A16:F16"/>
    <mergeCell ref="A17:F17"/>
    <mergeCell ref="A18:F18"/>
    <mergeCell ref="A19:F19"/>
    <mergeCell ref="A20:F20"/>
    <mergeCell ref="A22:F22"/>
    <mergeCell ref="G22:G23"/>
    <mergeCell ref="A23:F23"/>
    <mergeCell ref="A24:F24"/>
    <mergeCell ref="A25:F25"/>
    <mergeCell ref="A26:F26"/>
    <mergeCell ref="A27:F27"/>
    <mergeCell ref="A29:F29"/>
    <mergeCell ref="G29:G30"/>
    <mergeCell ref="A30:F30"/>
    <mergeCell ref="A31:F31"/>
    <mergeCell ref="A32:F32"/>
    <mergeCell ref="A33:F33"/>
    <mergeCell ref="A34:F34"/>
    <mergeCell ref="A36:F36"/>
    <mergeCell ref="G36:G37"/>
    <mergeCell ref="A37:F37"/>
    <mergeCell ref="A38:F38"/>
    <mergeCell ref="A39:F39"/>
    <mergeCell ref="A40:F40"/>
    <mergeCell ref="A41:F41"/>
    <mergeCell ref="A43:F43"/>
    <mergeCell ref="G43:G44"/>
    <mergeCell ref="A44:F44"/>
    <mergeCell ref="A45:F45"/>
    <mergeCell ref="A46:F46"/>
    <mergeCell ref="A47:F47"/>
    <mergeCell ref="A48:F48"/>
    <mergeCell ref="A50:F50"/>
    <mergeCell ref="G50:G51"/>
    <mergeCell ref="A51:F51"/>
    <mergeCell ref="G64:G65"/>
    <mergeCell ref="A65:F65"/>
    <mergeCell ref="A52:F52"/>
    <mergeCell ref="A53:F53"/>
    <mergeCell ref="A54:F54"/>
    <mergeCell ref="A55:F55"/>
    <mergeCell ref="A57:F57"/>
    <mergeCell ref="G57:G58"/>
    <mergeCell ref="A58:F58"/>
    <mergeCell ref="A66:F66"/>
    <mergeCell ref="A67:F67"/>
    <mergeCell ref="A68:F68"/>
    <mergeCell ref="A69:F69"/>
    <mergeCell ref="A59:F59"/>
    <mergeCell ref="A60:F60"/>
    <mergeCell ref="A61:F61"/>
    <mergeCell ref="A62:F62"/>
    <mergeCell ref="A64:F64"/>
  </mergeCell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dimension ref="A1:H91"/>
  <sheetViews>
    <sheetView view="pageBreakPreview" zoomScaleSheetLayoutView="100" workbookViewId="0">
      <selection activeCell="B4" sqref="B4:G4"/>
    </sheetView>
  </sheetViews>
  <sheetFormatPr defaultColWidth="9" defaultRowHeight="15"/>
  <cols>
    <col min="1" max="1" width="14.42578125" customWidth="1"/>
    <col min="2" max="2" width="13.85546875" customWidth="1"/>
    <col min="3" max="3" width="14.5703125" customWidth="1"/>
    <col min="4" max="4" width="16.85546875" customWidth="1"/>
    <col min="5" max="5" width="14.28515625" customWidth="1"/>
    <col min="6" max="6" width="13.140625" customWidth="1"/>
    <col min="7" max="7" width="12.85546875" customWidth="1"/>
    <col min="8" max="8" width="13.42578125" customWidth="1"/>
  </cols>
  <sheetData>
    <row r="1" spans="1:8" ht="15" customHeight="1">
      <c r="A1" s="1155" t="s">
        <v>1405</v>
      </c>
      <c r="B1" s="1155"/>
      <c r="C1" s="1155"/>
      <c r="D1" s="1155"/>
      <c r="E1" s="1155"/>
      <c r="F1" s="1155"/>
      <c r="G1" s="1155"/>
      <c r="H1" s="1155"/>
    </row>
    <row r="2" spans="1:8" ht="15" customHeight="1">
      <c r="A2" s="520" t="s">
        <v>2622</v>
      </c>
      <c r="B2" s="1159" t="s">
        <v>1407</v>
      </c>
      <c r="C2" s="1159"/>
      <c r="D2" s="1159"/>
      <c r="E2" s="1159"/>
      <c r="F2" s="1159"/>
      <c r="G2" s="1159"/>
      <c r="H2" s="533" t="s">
        <v>2643</v>
      </c>
    </row>
    <row r="3" spans="1:8" ht="15" customHeight="1">
      <c r="A3" s="530" t="s">
        <v>2625</v>
      </c>
      <c r="B3" s="1157" t="s">
        <v>2670</v>
      </c>
      <c r="C3" s="1157"/>
      <c r="D3" s="1157"/>
      <c r="E3" s="1157"/>
      <c r="F3" s="1157"/>
      <c r="G3" s="1157"/>
      <c r="H3" s="532">
        <v>588</v>
      </c>
    </row>
    <row r="4" spans="1:8" ht="15" customHeight="1">
      <c r="A4" s="530" t="s">
        <v>2627</v>
      </c>
      <c r="B4" s="1157" t="s">
        <v>2671</v>
      </c>
      <c r="C4" s="1157"/>
      <c r="D4" s="1157"/>
      <c r="E4" s="1157"/>
      <c r="F4" s="1157"/>
      <c r="G4" s="1157"/>
      <c r="H4" s="532">
        <v>539</v>
      </c>
    </row>
    <row r="5" spans="1:8" ht="15" customHeight="1">
      <c r="A5" s="530" t="s">
        <v>2629</v>
      </c>
      <c r="B5" s="1157" t="s">
        <v>2672</v>
      </c>
      <c r="C5" s="1157"/>
      <c r="D5" s="1157"/>
      <c r="E5" s="1157"/>
      <c r="F5" s="1157"/>
      <c r="G5" s="1157"/>
      <c r="H5" s="532">
        <v>575</v>
      </c>
    </row>
    <row r="6" spans="1:8" ht="15" customHeight="1">
      <c r="A6" s="534"/>
      <c r="B6" s="1164" t="s">
        <v>2630</v>
      </c>
      <c r="C6" s="1164"/>
      <c r="D6" s="1164"/>
      <c r="E6" s="1164"/>
      <c r="F6" s="1164"/>
      <c r="G6" s="1164"/>
      <c r="H6" s="535">
        <f>SMALL(H3:H5,1)</f>
        <v>539</v>
      </c>
    </row>
    <row r="8" spans="1:8" ht="15" customHeight="1">
      <c r="A8" s="1155" t="s">
        <v>2673</v>
      </c>
      <c r="B8" s="1155"/>
      <c r="C8" s="1155"/>
      <c r="D8" s="1155"/>
      <c r="E8" s="1155"/>
      <c r="F8" s="1155"/>
      <c r="G8" s="1155"/>
      <c r="H8" s="1155"/>
    </row>
    <row r="9" spans="1:8" ht="15" customHeight="1">
      <c r="A9" s="520" t="s">
        <v>2622</v>
      </c>
      <c r="B9" s="1159" t="s">
        <v>1419</v>
      </c>
      <c r="C9" s="1159"/>
      <c r="D9" s="1159"/>
      <c r="E9" s="1159"/>
      <c r="F9" s="1159"/>
      <c r="G9" s="1159"/>
      <c r="H9" s="533" t="s">
        <v>2643</v>
      </c>
    </row>
    <row r="10" spans="1:8" ht="15" customHeight="1">
      <c r="A10" s="530" t="s">
        <v>2625</v>
      </c>
      <c r="B10" s="1157" t="s">
        <v>2671</v>
      </c>
      <c r="C10" s="1157"/>
      <c r="D10" s="1157"/>
      <c r="E10" s="1157"/>
      <c r="F10" s="1157"/>
      <c r="G10" s="1157"/>
      <c r="H10" s="532">
        <v>308.61</v>
      </c>
    </row>
    <row r="11" spans="1:8" ht="15" customHeight="1">
      <c r="A11" s="530" t="s">
        <v>2627</v>
      </c>
      <c r="B11" s="1157" t="s">
        <v>2674</v>
      </c>
      <c r="C11" s="1157"/>
      <c r="D11" s="1157"/>
      <c r="E11" s="1157"/>
      <c r="F11" s="1157"/>
      <c r="G11" s="1157"/>
      <c r="H11" s="532">
        <v>308.61</v>
      </c>
    </row>
    <row r="12" spans="1:8" ht="15" customHeight="1">
      <c r="A12" s="530" t="s">
        <v>2629</v>
      </c>
      <c r="B12" s="1157" t="s">
        <v>2675</v>
      </c>
      <c r="C12" s="1157"/>
      <c r="D12" s="1157"/>
      <c r="E12" s="1157"/>
      <c r="F12" s="1157"/>
      <c r="G12" s="1157"/>
      <c r="H12" s="532">
        <v>393.35</v>
      </c>
    </row>
    <row r="13" spans="1:8" ht="15" customHeight="1">
      <c r="A13" s="534"/>
      <c r="B13" s="1164" t="s">
        <v>2630</v>
      </c>
      <c r="C13" s="1164"/>
      <c r="D13" s="1164"/>
      <c r="E13" s="1164"/>
      <c r="F13" s="1164"/>
      <c r="G13" s="1164"/>
      <c r="H13" s="535">
        <f>SMALL(H10:H12,1)</f>
        <v>308.61</v>
      </c>
    </row>
    <row r="15" spans="1:8" ht="15" customHeight="1">
      <c r="A15" s="1155" t="s">
        <v>2676</v>
      </c>
      <c r="B15" s="1155"/>
      <c r="C15" s="1155"/>
      <c r="D15" s="1155"/>
      <c r="E15" s="1155"/>
      <c r="F15" s="1155"/>
      <c r="G15" s="1155"/>
      <c r="H15" s="1155"/>
    </row>
    <row r="16" spans="1:8" ht="15" customHeight="1">
      <c r="A16" s="520" t="s">
        <v>2622</v>
      </c>
      <c r="B16" s="1159" t="s">
        <v>1417</v>
      </c>
      <c r="C16" s="1159"/>
      <c r="D16" s="1159"/>
      <c r="E16" s="1159"/>
      <c r="F16" s="1159"/>
      <c r="G16" s="1159"/>
      <c r="H16" s="533" t="s">
        <v>2643</v>
      </c>
    </row>
    <row r="17" spans="1:8" ht="15" customHeight="1">
      <c r="A17" s="530" t="s">
        <v>2625</v>
      </c>
      <c r="B17" s="1157" t="s">
        <v>2670</v>
      </c>
      <c r="C17" s="1157"/>
      <c r="D17" s="1157"/>
      <c r="E17" s="1157"/>
      <c r="F17" s="1157"/>
      <c r="G17" s="1157"/>
      <c r="H17" s="532">
        <v>610</v>
      </c>
    </row>
    <row r="18" spans="1:8" ht="15" customHeight="1">
      <c r="A18" s="530" t="s">
        <v>2627</v>
      </c>
      <c r="B18" s="1157" t="s">
        <v>2677</v>
      </c>
      <c r="C18" s="1157"/>
      <c r="D18" s="1157"/>
      <c r="E18" s="1157"/>
      <c r="F18" s="1157"/>
      <c r="G18" s="1157"/>
      <c r="H18" s="532">
        <v>610</v>
      </c>
    </row>
    <row r="19" spans="1:8" ht="15" customHeight="1">
      <c r="A19" s="530" t="s">
        <v>2629</v>
      </c>
      <c r="B19" s="1157" t="s">
        <v>2672</v>
      </c>
      <c r="C19" s="1157"/>
      <c r="D19" s="1157"/>
      <c r="E19" s="1157"/>
      <c r="F19" s="1157"/>
      <c r="G19" s="1157"/>
      <c r="H19" s="532">
        <v>575</v>
      </c>
    </row>
    <row r="20" spans="1:8" ht="15" customHeight="1">
      <c r="A20" s="534"/>
      <c r="B20" s="1164" t="s">
        <v>2630</v>
      </c>
      <c r="C20" s="1164"/>
      <c r="D20" s="1164"/>
      <c r="E20" s="1164"/>
      <c r="F20" s="1164"/>
      <c r="G20" s="1164"/>
      <c r="H20" s="535">
        <f>SMALL(H17:H19,1)</f>
        <v>575</v>
      </c>
    </row>
    <row r="22" spans="1:8" ht="15" customHeight="1">
      <c r="A22" s="1155" t="s">
        <v>2678</v>
      </c>
      <c r="B22" s="1155"/>
      <c r="C22" s="1155"/>
      <c r="D22" s="1155"/>
      <c r="E22" s="1155"/>
      <c r="F22" s="1155"/>
      <c r="G22" s="1155"/>
      <c r="H22" s="1155"/>
    </row>
    <row r="23" spans="1:8" ht="51.6" customHeight="1">
      <c r="A23" s="520" t="s">
        <v>2622</v>
      </c>
      <c r="B23" s="1159" t="s">
        <v>2679</v>
      </c>
      <c r="C23" s="1159"/>
      <c r="D23" s="1159"/>
      <c r="E23" s="1159"/>
      <c r="F23" s="1159"/>
      <c r="G23" s="1159"/>
      <c r="H23" s="533" t="s">
        <v>2643</v>
      </c>
    </row>
    <row r="24" spans="1:8" ht="15" customHeight="1">
      <c r="A24" s="530" t="s">
        <v>2625</v>
      </c>
      <c r="B24" s="1157" t="s">
        <v>2680</v>
      </c>
      <c r="C24" s="1157"/>
      <c r="D24" s="1157"/>
      <c r="E24" s="1157"/>
      <c r="F24" s="1157"/>
      <c r="G24" s="1157"/>
      <c r="H24" s="532">
        <v>69953</v>
      </c>
    </row>
    <row r="25" spans="1:8" ht="15" customHeight="1">
      <c r="A25" s="534"/>
      <c r="B25" s="1164" t="s">
        <v>2630</v>
      </c>
      <c r="C25" s="1164"/>
      <c r="D25" s="1164"/>
      <c r="E25" s="1164"/>
      <c r="F25" s="1164"/>
      <c r="G25" s="1164"/>
      <c r="H25" s="535">
        <f>SMALL(H24:H24,1)</f>
        <v>69953</v>
      </c>
    </row>
    <row r="27" spans="1:8" ht="15" customHeight="1">
      <c r="A27" s="1155" t="s">
        <v>2681</v>
      </c>
      <c r="B27" s="1155"/>
      <c r="C27" s="1155"/>
      <c r="D27" s="1155"/>
      <c r="E27" s="1155"/>
      <c r="F27" s="1155"/>
      <c r="G27" s="1155"/>
      <c r="H27" s="1155"/>
    </row>
    <row r="28" spans="1:8" ht="15" customHeight="1">
      <c r="A28" s="520" t="s">
        <v>2622</v>
      </c>
      <c r="B28" s="1159" t="s">
        <v>2682</v>
      </c>
      <c r="C28" s="1159"/>
      <c r="D28" s="1159"/>
      <c r="E28" s="1159"/>
      <c r="F28" s="1159"/>
      <c r="G28" s="1159"/>
      <c r="H28" s="533" t="s">
        <v>2643</v>
      </c>
    </row>
    <row r="29" spans="1:8" ht="15" customHeight="1">
      <c r="A29" s="530" t="s">
        <v>2625</v>
      </c>
      <c r="B29" s="1157" t="s">
        <v>2683</v>
      </c>
      <c r="C29" s="1157"/>
      <c r="D29" s="1157"/>
      <c r="E29" s="1157"/>
      <c r="F29" s="1157"/>
      <c r="G29" s="1157"/>
      <c r="H29" s="532">
        <v>1780</v>
      </c>
    </row>
    <row r="30" spans="1:8" ht="15" customHeight="1">
      <c r="A30" s="534"/>
      <c r="B30" s="1164" t="s">
        <v>2630</v>
      </c>
      <c r="C30" s="1164"/>
      <c r="D30" s="1164"/>
      <c r="E30" s="1164"/>
      <c r="F30" s="1164"/>
      <c r="G30" s="1164"/>
      <c r="H30" s="535">
        <f>SMALL(H29:H29,1)</f>
        <v>1780</v>
      </c>
    </row>
    <row r="32" spans="1:8" ht="15" customHeight="1">
      <c r="A32" s="1155" t="s">
        <v>2684</v>
      </c>
      <c r="B32" s="1155"/>
      <c r="C32" s="1155"/>
      <c r="D32" s="1155"/>
      <c r="E32" s="1155"/>
      <c r="F32" s="1155"/>
      <c r="G32" s="1155"/>
      <c r="H32" s="1155"/>
    </row>
    <row r="33" spans="1:8" ht="15" customHeight="1">
      <c r="A33" s="520" t="s">
        <v>2622</v>
      </c>
      <c r="B33" s="1159" t="s">
        <v>2295</v>
      </c>
      <c r="C33" s="1159"/>
      <c r="D33" s="1159"/>
      <c r="E33" s="1159"/>
      <c r="F33" s="1159"/>
      <c r="G33" s="1159"/>
      <c r="H33" s="533" t="s">
        <v>2643</v>
      </c>
    </row>
    <row r="34" spans="1:8" ht="15" customHeight="1">
      <c r="A34" s="530" t="s">
        <v>2625</v>
      </c>
      <c r="B34" s="1157" t="s">
        <v>2683</v>
      </c>
      <c r="C34" s="1157"/>
      <c r="D34" s="1157"/>
      <c r="E34" s="1157"/>
      <c r="F34" s="1157"/>
      <c r="G34" s="1157"/>
      <c r="H34" s="532">
        <v>1380</v>
      </c>
    </row>
    <row r="35" spans="1:8" ht="15" customHeight="1">
      <c r="A35" s="534"/>
      <c r="B35" s="1164" t="s">
        <v>2630</v>
      </c>
      <c r="C35" s="1164"/>
      <c r="D35" s="1164"/>
      <c r="E35" s="1164"/>
      <c r="F35" s="1164"/>
      <c r="G35" s="1164"/>
      <c r="H35" s="535">
        <f>SMALL(H34:H34,1)</f>
        <v>1380</v>
      </c>
    </row>
    <row r="37" spans="1:8">
      <c r="A37" s="1155" t="s">
        <v>2685</v>
      </c>
      <c r="B37" s="1155"/>
      <c r="C37" s="1155"/>
      <c r="D37" s="1155"/>
      <c r="E37" s="1155"/>
      <c r="F37" s="1155"/>
      <c r="G37" s="1155"/>
      <c r="H37" s="1155"/>
    </row>
    <row r="38" spans="1:8" ht="15" customHeight="1">
      <c r="A38" s="520" t="s">
        <v>2622</v>
      </c>
      <c r="B38" s="1159" t="s">
        <v>1427</v>
      </c>
      <c r="C38" s="1159"/>
      <c r="D38" s="1159"/>
      <c r="E38" s="1159"/>
      <c r="F38" s="1159"/>
      <c r="G38" s="1159"/>
      <c r="H38" s="533" t="s">
        <v>2643</v>
      </c>
    </row>
    <row r="39" spans="1:8" ht="15" customHeight="1">
      <c r="A39" s="530" t="s">
        <v>2625</v>
      </c>
      <c r="B39" s="1157" t="s">
        <v>2683</v>
      </c>
      <c r="C39" s="1157"/>
      <c r="D39" s="1157"/>
      <c r="E39" s="1157"/>
      <c r="F39" s="1157"/>
      <c r="G39" s="1157"/>
      <c r="H39" s="532">
        <v>1200</v>
      </c>
    </row>
    <row r="40" spans="1:8">
      <c r="A40" s="534"/>
      <c r="B40" s="1164" t="s">
        <v>2630</v>
      </c>
      <c r="C40" s="1164"/>
      <c r="D40" s="1164"/>
      <c r="E40" s="1164"/>
      <c r="F40" s="1164"/>
      <c r="G40" s="1164"/>
      <c r="H40" s="535">
        <f>SMALL(H39:H39,1)</f>
        <v>1200</v>
      </c>
    </row>
    <row r="42" spans="1:8" ht="15" customHeight="1">
      <c r="A42" s="1155" t="s">
        <v>2686</v>
      </c>
      <c r="B42" s="1155"/>
      <c r="C42" s="1155"/>
      <c r="D42" s="1155"/>
      <c r="E42" s="1155"/>
      <c r="F42" s="1155"/>
      <c r="G42" s="1155"/>
      <c r="H42" s="1155"/>
    </row>
    <row r="43" spans="1:8" ht="15" customHeight="1">
      <c r="A43" s="520" t="s">
        <v>2622</v>
      </c>
      <c r="B43" s="1159" t="s">
        <v>2687</v>
      </c>
      <c r="C43" s="1159"/>
      <c r="D43" s="1159"/>
      <c r="E43" s="1159"/>
      <c r="F43" s="1159"/>
      <c r="G43" s="1159"/>
      <c r="H43" s="533" t="s">
        <v>2643</v>
      </c>
    </row>
    <row r="44" spans="1:8" ht="15" customHeight="1">
      <c r="A44" s="530" t="s">
        <v>2625</v>
      </c>
      <c r="B44" s="1157" t="s">
        <v>2683</v>
      </c>
      <c r="C44" s="1157"/>
      <c r="D44" s="1157"/>
      <c r="E44" s="1157"/>
      <c r="F44" s="1157"/>
      <c r="G44" s="1157"/>
      <c r="H44" s="532">
        <v>480</v>
      </c>
    </row>
    <row r="45" spans="1:8" ht="15" customHeight="1">
      <c r="A45" s="534"/>
      <c r="B45" s="1164" t="s">
        <v>2630</v>
      </c>
      <c r="C45" s="1164"/>
      <c r="D45" s="1164"/>
      <c r="E45" s="1164"/>
      <c r="F45" s="1164"/>
      <c r="G45" s="1164"/>
      <c r="H45" s="535">
        <f>SMALL(H44:H44,1)</f>
        <v>480</v>
      </c>
    </row>
    <row r="47" spans="1:8" ht="15" customHeight="1">
      <c r="A47" s="1155" t="s">
        <v>2688</v>
      </c>
      <c r="B47" s="1155"/>
      <c r="C47" s="1155"/>
      <c r="D47" s="1155"/>
      <c r="E47" s="1155"/>
      <c r="F47" s="1155"/>
      <c r="G47" s="1155"/>
      <c r="H47" s="1155"/>
    </row>
    <row r="48" spans="1:8" ht="15" customHeight="1">
      <c r="A48" s="520" t="s">
        <v>2622</v>
      </c>
      <c r="B48" s="1159" t="s">
        <v>1431</v>
      </c>
      <c r="C48" s="1159"/>
      <c r="D48" s="1159"/>
      <c r="E48" s="1159"/>
      <c r="F48" s="1159"/>
      <c r="G48" s="1159"/>
      <c r="H48" s="533" t="s">
        <v>2643</v>
      </c>
    </row>
    <row r="49" spans="1:8" ht="15" customHeight="1">
      <c r="A49" s="530" t="s">
        <v>2625</v>
      </c>
      <c r="B49" s="1157" t="s">
        <v>2683</v>
      </c>
      <c r="C49" s="1157"/>
      <c r="D49" s="1157"/>
      <c r="E49" s="1157"/>
      <c r="F49" s="1157"/>
      <c r="G49" s="1157"/>
      <c r="H49" s="532">
        <v>180</v>
      </c>
    </row>
    <row r="50" spans="1:8" ht="15" customHeight="1">
      <c r="A50" s="534"/>
      <c r="B50" s="1164" t="s">
        <v>2630</v>
      </c>
      <c r="C50" s="1164"/>
      <c r="D50" s="1164"/>
      <c r="E50" s="1164"/>
      <c r="F50" s="1164"/>
      <c r="G50" s="1164"/>
      <c r="H50" s="535">
        <f>SMALL(H49:H49,1)</f>
        <v>180</v>
      </c>
    </row>
    <row r="52" spans="1:8" ht="15" customHeight="1">
      <c r="A52" s="1155" t="s">
        <v>2689</v>
      </c>
      <c r="B52" s="1155"/>
      <c r="C52" s="1155"/>
      <c r="D52" s="1155"/>
      <c r="E52" s="1155"/>
      <c r="F52" s="1155"/>
      <c r="G52" s="1155"/>
      <c r="H52" s="1155"/>
    </row>
    <row r="53" spans="1:8" ht="15" customHeight="1">
      <c r="A53" s="520" t="s">
        <v>2622</v>
      </c>
      <c r="B53" s="1159" t="s">
        <v>1433</v>
      </c>
      <c r="C53" s="1159"/>
      <c r="D53" s="1159"/>
      <c r="E53" s="1159"/>
      <c r="F53" s="1159"/>
      <c r="G53" s="1159"/>
      <c r="H53" s="533" t="s">
        <v>2643</v>
      </c>
    </row>
    <row r="54" spans="1:8" ht="15" customHeight="1">
      <c r="A54" s="530" t="s">
        <v>2625</v>
      </c>
      <c r="B54" s="1157" t="s">
        <v>2690</v>
      </c>
      <c r="C54" s="1157"/>
      <c r="D54" s="1157"/>
      <c r="E54" s="1157"/>
      <c r="F54" s="1157"/>
      <c r="G54" s="1157"/>
      <c r="H54" s="532">
        <v>25</v>
      </c>
    </row>
    <row r="55" spans="1:8" ht="15" customHeight="1">
      <c r="A55" s="534"/>
      <c r="B55" s="1164" t="s">
        <v>2630</v>
      </c>
      <c r="C55" s="1164"/>
      <c r="D55" s="1164"/>
      <c r="E55" s="1164"/>
      <c r="F55" s="1164"/>
      <c r="G55" s="1164"/>
      <c r="H55" s="535">
        <f>SMALL(H54:H54,1)</f>
        <v>25</v>
      </c>
    </row>
    <row r="57" spans="1:8">
      <c r="A57" s="1155" t="s">
        <v>2691</v>
      </c>
      <c r="B57" s="1155"/>
      <c r="C57" s="1155"/>
      <c r="D57" s="1155"/>
      <c r="E57" s="1155"/>
      <c r="F57" s="1155"/>
      <c r="G57" s="1155"/>
      <c r="H57" s="1155"/>
    </row>
    <row r="58" spans="1:8" ht="15" customHeight="1">
      <c r="A58" s="520" t="s">
        <v>2622</v>
      </c>
      <c r="B58" s="1159" t="s">
        <v>2585</v>
      </c>
      <c r="C58" s="1159"/>
      <c r="D58" s="1159"/>
      <c r="E58" s="1159"/>
      <c r="F58" s="1159"/>
      <c r="G58" s="1159"/>
      <c r="H58" s="533" t="s">
        <v>2643</v>
      </c>
    </row>
    <row r="59" spans="1:8" ht="15" customHeight="1">
      <c r="A59" s="530" t="s">
        <v>2625</v>
      </c>
      <c r="B59" s="1157" t="s">
        <v>2683</v>
      </c>
      <c r="C59" s="1157"/>
      <c r="D59" s="1157"/>
      <c r="E59" s="1157"/>
      <c r="F59" s="1157"/>
      <c r="G59" s="1157"/>
      <c r="H59" s="532">
        <f>600/100</f>
        <v>6</v>
      </c>
    </row>
    <row r="60" spans="1:8" ht="15" customHeight="1">
      <c r="A60" s="534"/>
      <c r="B60" s="1164" t="s">
        <v>2630</v>
      </c>
      <c r="C60" s="1164"/>
      <c r="D60" s="1164"/>
      <c r="E60" s="1164"/>
      <c r="F60" s="1164"/>
      <c r="G60" s="1164"/>
      <c r="H60" s="535">
        <f>SMALL(H59:H59,1)</f>
        <v>6</v>
      </c>
    </row>
    <row r="61" spans="1:8">
      <c r="A61" s="534"/>
      <c r="B61" s="241"/>
      <c r="C61" s="241"/>
      <c r="D61" s="241"/>
      <c r="E61" s="241"/>
      <c r="F61" s="241"/>
      <c r="G61" s="241"/>
      <c r="H61" s="242"/>
    </row>
    <row r="62" spans="1:8" ht="15" customHeight="1">
      <c r="A62" s="1155" t="s">
        <v>2692</v>
      </c>
      <c r="B62" s="1155"/>
      <c r="C62" s="1155"/>
      <c r="D62" s="1155"/>
      <c r="E62" s="1155"/>
      <c r="F62" s="1155"/>
      <c r="G62" s="1155"/>
      <c r="H62" s="1155"/>
    </row>
    <row r="63" spans="1:8" ht="15" customHeight="1">
      <c r="A63" s="520" t="s">
        <v>2622</v>
      </c>
      <c r="B63" s="1159" t="s">
        <v>2693</v>
      </c>
      <c r="C63" s="1159"/>
      <c r="D63" s="1159"/>
      <c r="E63" s="1159"/>
      <c r="F63" s="1159"/>
      <c r="G63" s="1159"/>
      <c r="H63" s="533" t="s">
        <v>2643</v>
      </c>
    </row>
    <row r="64" spans="1:8" ht="15" customHeight="1">
      <c r="A64" s="530" t="s">
        <v>2625</v>
      </c>
      <c r="B64" s="1157" t="s">
        <v>2694</v>
      </c>
      <c r="C64" s="1157"/>
      <c r="D64" s="1157"/>
      <c r="E64" s="1157"/>
      <c r="F64" s="1157"/>
      <c r="G64" s="1157"/>
      <c r="H64" s="532">
        <f>7100+250+490</f>
        <v>7840</v>
      </c>
    </row>
    <row r="65" spans="1:8" ht="15" customHeight="1">
      <c r="A65" s="534"/>
      <c r="B65" s="1164" t="s">
        <v>2630</v>
      </c>
      <c r="C65" s="1164"/>
      <c r="D65" s="1164"/>
      <c r="E65" s="1164"/>
      <c r="F65" s="1164"/>
      <c r="G65" s="1164"/>
      <c r="H65" s="535">
        <f>SMALL(H64:H64,1)</f>
        <v>7840</v>
      </c>
    </row>
    <row r="66" spans="1:8">
      <c r="A66" s="534"/>
      <c r="B66" s="241"/>
      <c r="C66" s="241"/>
      <c r="D66" s="241"/>
      <c r="E66" s="241"/>
      <c r="F66" s="241"/>
      <c r="G66" s="241"/>
      <c r="H66" s="242"/>
    </row>
    <row r="67" spans="1:8" ht="15" customHeight="1">
      <c r="A67" s="1155" t="s">
        <v>2695</v>
      </c>
      <c r="B67" s="1155"/>
      <c r="C67" s="1155"/>
      <c r="D67" s="1155"/>
      <c r="E67" s="1155"/>
      <c r="F67" s="1155"/>
      <c r="G67" s="1155"/>
      <c r="H67" s="1155"/>
    </row>
    <row r="68" spans="1:8" ht="30.75" customHeight="1">
      <c r="A68" s="520" t="s">
        <v>2622</v>
      </c>
      <c r="B68" s="1159" t="s">
        <v>1394</v>
      </c>
      <c r="C68" s="1159"/>
      <c r="D68" s="1159"/>
      <c r="E68" s="1159"/>
      <c r="F68" s="1159"/>
      <c r="G68" s="1159"/>
      <c r="H68" s="533" t="s">
        <v>2643</v>
      </c>
    </row>
    <row r="69" spans="1:8" ht="15" customHeight="1">
      <c r="A69" s="530" t="s">
        <v>2625</v>
      </c>
      <c r="B69" s="1157" t="s">
        <v>2696</v>
      </c>
      <c r="C69" s="1157"/>
      <c r="D69" s="1157"/>
      <c r="E69" s="1157"/>
      <c r="F69" s="1157"/>
      <c r="G69" s="1157"/>
      <c r="H69" s="532">
        <v>6299</v>
      </c>
    </row>
    <row r="70" spans="1:8" ht="15" customHeight="1">
      <c r="A70" s="534"/>
      <c r="B70" s="1164" t="s">
        <v>2630</v>
      </c>
      <c r="C70" s="1164"/>
      <c r="D70" s="1164"/>
      <c r="E70" s="1164"/>
      <c r="F70" s="1164"/>
      <c r="G70" s="1164"/>
      <c r="H70" s="535">
        <f>SMALL(H69:H69,1)</f>
        <v>6299</v>
      </c>
    </row>
    <row r="72" spans="1:8" ht="15" customHeight="1">
      <c r="A72" s="1155" t="s">
        <v>2697</v>
      </c>
      <c r="B72" s="1155"/>
      <c r="C72" s="1155"/>
      <c r="D72" s="1155"/>
      <c r="E72" s="1155"/>
      <c r="F72" s="1155"/>
      <c r="G72" s="1155"/>
      <c r="H72" s="1155"/>
    </row>
    <row r="73" spans="1:8" ht="15" customHeight="1">
      <c r="A73" s="520" t="s">
        <v>2622</v>
      </c>
      <c r="B73" s="1159" t="s">
        <v>2698</v>
      </c>
      <c r="C73" s="1159"/>
      <c r="D73" s="1159"/>
      <c r="E73" s="1159"/>
      <c r="F73" s="1159"/>
      <c r="G73" s="1159"/>
      <c r="H73" s="533" t="s">
        <v>2643</v>
      </c>
    </row>
    <row r="74" spans="1:8" ht="15" customHeight="1">
      <c r="A74" s="530" t="s">
        <v>2625</v>
      </c>
      <c r="B74" s="1163" t="s">
        <v>2699</v>
      </c>
      <c r="C74" s="1163"/>
      <c r="D74" s="1163"/>
      <c r="E74" s="1163"/>
      <c r="F74" s="1163"/>
      <c r="G74" s="1163"/>
      <c r="H74" s="532">
        <v>4990</v>
      </c>
    </row>
    <row r="75" spans="1:8" ht="15" customHeight="1">
      <c r="A75" s="530" t="s">
        <v>2627</v>
      </c>
      <c r="B75" s="1157"/>
      <c r="C75" s="1157"/>
      <c r="D75" s="1157"/>
      <c r="E75" s="1157"/>
      <c r="F75" s="1157"/>
      <c r="G75" s="1157"/>
      <c r="H75" s="532"/>
    </row>
    <row r="77" spans="1:8" ht="15" customHeight="1">
      <c r="A77" s="1155" t="s">
        <v>2700</v>
      </c>
      <c r="B77" s="1155"/>
      <c r="C77" s="1155"/>
      <c r="D77" s="1155"/>
      <c r="E77" s="1155"/>
      <c r="F77" s="1155"/>
      <c r="G77" s="1155"/>
      <c r="H77" s="1155"/>
    </row>
    <row r="78" spans="1:8" ht="14.45" customHeight="1">
      <c r="A78" s="520" t="s">
        <v>2622</v>
      </c>
      <c r="B78" s="1159" t="s">
        <v>2701</v>
      </c>
      <c r="C78" s="1159"/>
      <c r="D78" s="1159"/>
      <c r="E78" s="1159"/>
      <c r="F78" s="1159"/>
      <c r="G78" s="1159"/>
      <c r="H78" s="533" t="s">
        <v>2643</v>
      </c>
    </row>
    <row r="79" spans="1:8" ht="15" customHeight="1">
      <c r="A79" s="530" t="s">
        <v>2625</v>
      </c>
      <c r="B79" s="1157" t="s">
        <v>2671</v>
      </c>
      <c r="C79" s="1157"/>
      <c r="D79" s="1157"/>
      <c r="E79" s="1157"/>
      <c r="F79" s="1157"/>
      <c r="G79" s="1157"/>
      <c r="H79" s="532">
        <f>(22413.39/67)</f>
        <v>334.52820895522387</v>
      </c>
    </row>
    <row r="80" spans="1:8" ht="15" customHeight="1">
      <c r="A80" s="530" t="s">
        <v>2627</v>
      </c>
      <c r="B80" s="1157" t="s">
        <v>2702</v>
      </c>
      <c r="C80" s="1157"/>
      <c r="D80" s="1157"/>
      <c r="E80" s="1157"/>
      <c r="F80" s="1157"/>
      <c r="G80" s="1157"/>
      <c r="H80" s="532">
        <f>(22413.39/67)</f>
        <v>334.52820895522387</v>
      </c>
    </row>
    <row r="82" spans="1:8" ht="15" customHeight="1">
      <c r="A82" s="1155" t="s">
        <v>2703</v>
      </c>
      <c r="B82" s="1155"/>
      <c r="C82" s="1155"/>
      <c r="D82" s="1155"/>
      <c r="E82" s="1155"/>
      <c r="F82" s="1155"/>
      <c r="G82" s="1155"/>
      <c r="H82" s="1155"/>
    </row>
    <row r="83" spans="1:8" ht="14.45" customHeight="1">
      <c r="A83" s="520" t="s">
        <v>2622</v>
      </c>
      <c r="B83" s="1159" t="s">
        <v>1412</v>
      </c>
      <c r="C83" s="1159"/>
      <c r="D83" s="1159"/>
      <c r="E83" s="1159"/>
      <c r="F83" s="1159"/>
      <c r="G83" s="1159"/>
      <c r="H83" s="533" t="s">
        <v>2643</v>
      </c>
    </row>
    <row r="84" spans="1:8" ht="15" customHeight="1">
      <c r="A84" s="530" t="s">
        <v>2625</v>
      </c>
      <c r="B84" s="1163" t="s">
        <v>2704</v>
      </c>
      <c r="C84" s="1163"/>
      <c r="D84" s="1163"/>
      <c r="E84" s="1163"/>
      <c r="F84" s="1163"/>
      <c r="G84" s="1163"/>
      <c r="H84" s="532">
        <v>1769.5</v>
      </c>
    </row>
    <row r="85" spans="1:8">
      <c r="A85" s="530" t="s">
        <v>2627</v>
      </c>
      <c r="B85" s="1157"/>
      <c r="C85" s="1157"/>
      <c r="D85" s="1157"/>
      <c r="E85" s="1157"/>
      <c r="F85" s="1157"/>
      <c r="G85" s="1157"/>
      <c r="H85" s="532"/>
    </row>
    <row r="87" spans="1:8" ht="15" customHeight="1">
      <c r="A87" s="1155" t="s">
        <v>2705</v>
      </c>
      <c r="B87" s="1155"/>
      <c r="C87" s="1155"/>
      <c r="D87" s="1155"/>
      <c r="E87" s="1155"/>
      <c r="F87" s="1155"/>
      <c r="G87" s="1155"/>
      <c r="H87" s="1155"/>
    </row>
    <row r="88" spans="1:8" ht="15" customHeight="1">
      <c r="A88" s="520" t="s">
        <v>2622</v>
      </c>
      <c r="B88" s="1159" t="s">
        <v>1435</v>
      </c>
      <c r="C88" s="1159"/>
      <c r="D88" s="1159"/>
      <c r="E88" s="1159"/>
      <c r="F88" s="1159"/>
      <c r="G88" s="1159"/>
      <c r="H88" s="533" t="s">
        <v>2643</v>
      </c>
    </row>
    <row r="89" spans="1:8" ht="15" customHeight="1">
      <c r="A89" s="530" t="s">
        <v>2625</v>
      </c>
      <c r="B89" s="1165" t="s">
        <v>2706</v>
      </c>
      <c r="C89" s="1165"/>
      <c r="D89" s="1165"/>
      <c r="E89" s="1165"/>
      <c r="F89" s="1165"/>
      <c r="G89" s="1165"/>
      <c r="H89" s="532">
        <f>3259.9+208.47</f>
        <v>3468.37</v>
      </c>
    </row>
    <row r="90" spans="1:8" ht="15" customHeight="1">
      <c r="A90" s="530" t="s">
        <v>2627</v>
      </c>
      <c r="B90" s="1165" t="s">
        <v>2707</v>
      </c>
      <c r="C90" s="1165"/>
      <c r="D90" s="1165"/>
      <c r="E90" s="1165"/>
      <c r="F90" s="1165"/>
      <c r="G90" s="1165"/>
      <c r="H90" s="532">
        <f>3510+187.59</f>
        <v>3697.59</v>
      </c>
    </row>
    <row r="91" spans="1:8" ht="15" customHeight="1">
      <c r="A91" s="530" t="s">
        <v>2629</v>
      </c>
      <c r="B91" s="1165" t="s">
        <v>2708</v>
      </c>
      <c r="C91" s="1165"/>
      <c r="D91" s="1165"/>
      <c r="E91" s="1165"/>
      <c r="F91" s="1165"/>
      <c r="G91" s="1165"/>
      <c r="H91" s="532">
        <f>3720+210.86</f>
        <v>3930.86</v>
      </c>
    </row>
  </sheetData>
  <sheetProtection password="8D0B" sheet="1" objects="1" scenarios="1" selectLockedCells="1" selectUnlockedCells="1"/>
  <mergeCells count="75">
    <mergeCell ref="A87:H87"/>
    <mergeCell ref="B88:G88"/>
    <mergeCell ref="B89:G89"/>
    <mergeCell ref="B91:G91"/>
    <mergeCell ref="B90:G90"/>
    <mergeCell ref="A1:H1"/>
    <mergeCell ref="B2:G2"/>
    <mergeCell ref="B3:G3"/>
    <mergeCell ref="B4:G4"/>
    <mergeCell ref="B5:G5"/>
    <mergeCell ref="B6:G6"/>
    <mergeCell ref="A8:H8"/>
    <mergeCell ref="B9:G9"/>
    <mergeCell ref="B10:G10"/>
    <mergeCell ref="B11:G11"/>
    <mergeCell ref="B12:G12"/>
    <mergeCell ref="B13:G13"/>
    <mergeCell ref="A15:H15"/>
    <mergeCell ref="B16:G16"/>
    <mergeCell ref="B17:G17"/>
    <mergeCell ref="B18:G18"/>
    <mergeCell ref="B19:G19"/>
    <mergeCell ref="B20:G20"/>
    <mergeCell ref="A22:H22"/>
    <mergeCell ref="B23:G23"/>
    <mergeCell ref="B24:G24"/>
    <mergeCell ref="B25:G25"/>
    <mergeCell ref="A27:H27"/>
    <mergeCell ref="B28:G28"/>
    <mergeCell ref="B29:G29"/>
    <mergeCell ref="B30:G30"/>
    <mergeCell ref="A32:H32"/>
    <mergeCell ref="B33:G33"/>
    <mergeCell ref="B34:G34"/>
    <mergeCell ref="B35:G35"/>
    <mergeCell ref="A37:H37"/>
    <mergeCell ref="B38:G38"/>
    <mergeCell ref="B39:G39"/>
    <mergeCell ref="B40:G40"/>
    <mergeCell ref="A42:H42"/>
    <mergeCell ref="B43:G43"/>
    <mergeCell ref="B44:G44"/>
    <mergeCell ref="B45:G45"/>
    <mergeCell ref="A47:H47"/>
    <mergeCell ref="B48:G48"/>
    <mergeCell ref="B49:G49"/>
    <mergeCell ref="B50:G50"/>
    <mergeCell ref="A52:H52"/>
    <mergeCell ref="B53:G53"/>
    <mergeCell ref="B54:G54"/>
    <mergeCell ref="B55:G55"/>
    <mergeCell ref="A57:H57"/>
    <mergeCell ref="B58:G58"/>
    <mergeCell ref="B59:G59"/>
    <mergeCell ref="B60:G60"/>
    <mergeCell ref="A62:H62"/>
    <mergeCell ref="B63:G63"/>
    <mergeCell ref="B64:G64"/>
    <mergeCell ref="B65:G65"/>
    <mergeCell ref="A67:H67"/>
    <mergeCell ref="B68:G68"/>
    <mergeCell ref="B69:G69"/>
    <mergeCell ref="B70:G70"/>
    <mergeCell ref="A72:H72"/>
    <mergeCell ref="B73:G73"/>
    <mergeCell ref="A82:H82"/>
    <mergeCell ref="B83:G83"/>
    <mergeCell ref="B84:G84"/>
    <mergeCell ref="B85:G85"/>
    <mergeCell ref="B74:G74"/>
    <mergeCell ref="B75:G75"/>
    <mergeCell ref="A77:H77"/>
    <mergeCell ref="B78:G78"/>
    <mergeCell ref="B79:G79"/>
    <mergeCell ref="B80:G80"/>
  </mergeCells>
  <hyperlinks>
    <hyperlink ref="B74" r:id="rId1"/>
  </hyperlinks>
  <pageMargins left="0.51180555555555551" right="0.51180555555555551" top="0.78749999999999998" bottom="0.78749999999999998" header="0.51180555555555551" footer="0.51180555555555551"/>
  <pageSetup paperSize="9" scale="81" firstPageNumber="0" orientation="portrait" horizontalDpi="300" verticalDpi="300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X3212"/>
  <sheetViews>
    <sheetView view="pageBreakPreview" zoomScale="70" zoomScaleSheetLayoutView="70" workbookViewId="0">
      <selection sqref="A1:XFD1048576"/>
    </sheetView>
  </sheetViews>
  <sheetFormatPr defaultColWidth="9.140625" defaultRowHeight="12.75"/>
  <cols>
    <col min="1" max="1" width="19" style="109" customWidth="1"/>
    <col min="2" max="2" width="22.7109375" style="109" customWidth="1"/>
    <col min="3" max="5" width="9.140625" style="109" customWidth="1"/>
    <col min="6" max="6" width="41.28515625" style="109" customWidth="1"/>
    <col min="7" max="7" width="7.140625" style="109" customWidth="1"/>
    <col min="8" max="8" width="13.42578125" style="704" customWidth="1"/>
    <col min="9" max="9" width="14" style="109" customWidth="1"/>
    <col min="10" max="10" width="9.42578125" style="109" customWidth="1"/>
    <col min="11" max="11" width="10.5703125" style="109" customWidth="1"/>
    <col min="12" max="12" width="16.140625" style="109" customWidth="1"/>
    <col min="13" max="13" width="15.7109375" style="109" customWidth="1"/>
    <col min="14" max="14" width="13.28515625" style="109" customWidth="1"/>
    <col min="15" max="15" width="12.28515625" style="109" customWidth="1"/>
    <col min="16" max="16" width="9.140625" style="105" customWidth="1"/>
    <col min="17" max="21" width="9.140625" style="105"/>
    <col min="22" max="24" width="9.140625" style="105" customWidth="1"/>
    <col min="25" max="16384" width="9.140625" style="105"/>
  </cols>
  <sheetData>
    <row r="1" spans="1:15" ht="15" customHeight="1">
      <c r="A1" s="1049" t="s">
        <v>1440</v>
      </c>
      <c r="B1" s="1049"/>
      <c r="C1" s="1049"/>
      <c r="D1" s="1049"/>
      <c r="E1" s="1049"/>
      <c r="F1" s="1049"/>
      <c r="G1" s="1049"/>
      <c r="H1" s="1049"/>
      <c r="I1" s="1049"/>
      <c r="J1" s="1049"/>
      <c r="K1" s="1049"/>
      <c r="L1" s="1049"/>
      <c r="M1" s="1049"/>
      <c r="N1" s="1049"/>
      <c r="O1" s="1049"/>
    </row>
    <row r="2" spans="1:15" ht="12.75" customHeight="1">
      <c r="A2" s="372"/>
      <c r="B2" s="1097" t="str">
        <f>ORÇAMENTO!A4</f>
        <v>OBRA: CONSTRUÇÃO DO FÓRUM DA COMARCA DE CORURIPE</v>
      </c>
      <c r="C2" s="1097"/>
      <c r="D2" s="1097"/>
      <c r="E2" s="1097"/>
      <c r="F2" s="1097"/>
      <c r="G2" s="1097"/>
      <c r="H2" s="1097"/>
      <c r="I2" s="1097"/>
      <c r="J2" s="1097"/>
      <c r="K2" s="1097"/>
      <c r="L2" s="1097"/>
      <c r="M2" s="1097"/>
      <c r="N2" s="1097"/>
      <c r="O2" s="1097"/>
    </row>
    <row r="3" spans="1:15" ht="12.75" customHeight="1">
      <c r="A3" s="372"/>
      <c r="B3" s="1050" t="str">
        <f>ORÇAMENTO!A5</f>
        <v>LOCAL: AV. LUIZ LIMA BELTRÃO, CJ. COMENDADOR TÉRCIO WANDERLEY, RODOVIA AL 101 SUL</v>
      </c>
      <c r="C3" s="1050"/>
      <c r="D3" s="1050"/>
      <c r="E3" s="1050"/>
      <c r="F3" s="1050"/>
      <c r="G3" s="1050"/>
      <c r="H3" s="1050"/>
      <c r="I3" s="1050" t="s">
        <v>1441</v>
      </c>
      <c r="J3" s="1050"/>
      <c r="K3" s="1050"/>
      <c r="L3" s="1050"/>
      <c r="M3" s="1050"/>
      <c r="N3" s="1050"/>
      <c r="O3" s="1050"/>
    </row>
    <row r="4" spans="1:15">
      <c r="A4" s="372"/>
      <c r="B4" s="1050" t="s">
        <v>1442</v>
      </c>
      <c r="C4" s="1050"/>
      <c r="D4" s="1050"/>
      <c r="E4" s="1050"/>
      <c r="F4" s="1050"/>
      <c r="G4" s="1050"/>
      <c r="H4" s="1050"/>
      <c r="I4" s="1050"/>
      <c r="J4" s="1050"/>
      <c r="K4" s="1050"/>
      <c r="L4" s="1050"/>
      <c r="M4" s="1050"/>
      <c r="N4" s="1097" t="str">
        <f>ORÇAMENTO!A6</f>
        <v>DATA: JULHO/2023</v>
      </c>
      <c r="O4" s="1097"/>
    </row>
    <row r="5" spans="1:15" ht="27.6" customHeight="1">
      <c r="A5" s="1098"/>
      <c r="B5" s="1098"/>
      <c r="C5" s="1098"/>
      <c r="D5" s="1098"/>
      <c r="E5" s="1098"/>
      <c r="F5" s="1098"/>
      <c r="G5" s="1098"/>
      <c r="H5" s="1098"/>
      <c r="I5" s="1098"/>
      <c r="J5" s="1098"/>
      <c r="K5" s="1098"/>
      <c r="L5" s="1098"/>
      <c r="M5" s="1098"/>
      <c r="N5" s="1098"/>
      <c r="O5" s="1098"/>
    </row>
    <row r="6" spans="1:15" ht="25.15" customHeight="1">
      <c r="A6" s="373" t="s">
        <v>11</v>
      </c>
      <c r="B6" s="374" t="s">
        <v>13</v>
      </c>
      <c r="C6" s="1007" t="s">
        <v>1443</v>
      </c>
      <c r="D6" s="1007"/>
      <c r="E6" s="1007"/>
      <c r="F6" s="1007"/>
      <c r="G6" s="374" t="s">
        <v>15</v>
      </c>
      <c r="H6" s="375" t="s">
        <v>1444</v>
      </c>
      <c r="I6" s="106" t="s">
        <v>1445</v>
      </c>
      <c r="J6" s="106" t="s">
        <v>1446</v>
      </c>
      <c r="K6" s="375" t="s">
        <v>1447</v>
      </c>
      <c r="L6" s="375" t="s">
        <v>1448</v>
      </c>
      <c r="M6" s="374" t="s">
        <v>1449</v>
      </c>
      <c r="N6" s="375" t="s">
        <v>1450</v>
      </c>
      <c r="O6" s="375" t="s">
        <v>1451</v>
      </c>
    </row>
    <row r="7" spans="1:15" ht="12.6" customHeight="1">
      <c r="A7" s="376"/>
      <c r="B7" s="376" t="str">
        <f>ORÇAMENTO!C11</f>
        <v>1.00</v>
      </c>
      <c r="C7" s="1067" t="str">
        <f>ORÇAMENTO!D11</f>
        <v>ADMINISTRAÇÃO LOCAL</v>
      </c>
      <c r="D7" s="1067"/>
      <c r="E7" s="1067"/>
      <c r="F7" s="1067"/>
      <c r="G7" s="1039"/>
      <c r="H7" s="1039"/>
      <c r="I7" s="1039"/>
      <c r="J7" s="1039"/>
      <c r="K7" s="1039"/>
      <c r="L7" s="1039"/>
      <c r="M7" s="1039"/>
      <c r="N7" s="1039"/>
      <c r="O7" s="1039"/>
    </row>
    <row r="8" spans="1:15" ht="24.75" customHeight="1">
      <c r="A8" s="377">
        <f>ORÇAMENTO!A12</f>
        <v>90777</v>
      </c>
      <c r="B8" s="377" t="str">
        <f>ORÇAMENTO!C12</f>
        <v>1.01</v>
      </c>
      <c r="C8" s="1004" t="str">
        <f>ORÇAMENTO!D12</f>
        <v>ENGENHEIRO CIVIL DE OBRA JUNIOR COM ENCARGOS COMPLEMENTARES</v>
      </c>
      <c r="D8" s="1004"/>
      <c r="E8" s="1004"/>
      <c r="F8" s="1004"/>
      <c r="G8" s="378" t="str">
        <f>ORÇAMENTO!E12</f>
        <v xml:space="preserve">H </v>
      </c>
      <c r="H8" s="377">
        <f>H9</f>
        <v>1408</v>
      </c>
      <c r="I8" s="379"/>
      <c r="J8" s="380"/>
      <c r="K8" s="379"/>
      <c r="L8" s="380"/>
      <c r="M8" s="379"/>
      <c r="N8" s="380"/>
      <c r="O8" s="380"/>
    </row>
    <row r="9" spans="1:15" ht="12.6" customHeight="1">
      <c r="A9" s="464"/>
      <c r="B9" s="464"/>
      <c r="C9" s="1009" t="s">
        <v>1452</v>
      </c>
      <c r="D9" s="1009"/>
      <c r="E9" s="1009"/>
      <c r="F9" s="1009"/>
      <c r="G9" s="695"/>
      <c r="H9" s="464">
        <f>22*8*8</f>
        <v>1408</v>
      </c>
      <c r="I9" s="444"/>
      <c r="J9" s="444"/>
      <c r="K9" s="463"/>
      <c r="L9" s="463"/>
      <c r="M9" s="463"/>
      <c r="N9" s="697"/>
      <c r="O9" s="697"/>
    </row>
    <row r="10" spans="1:15" s="311" customFormat="1" ht="23.25" customHeight="1">
      <c r="A10" s="344">
        <f>ORÇAMENTO!A13</f>
        <v>91677</v>
      </c>
      <c r="B10" s="344" t="str">
        <f>ORÇAMENTO!C13</f>
        <v>1.02</v>
      </c>
      <c r="C10" s="1014" t="str">
        <f>ORÇAMENTO!D13</f>
        <v>ENGENHEIRO ELETRICISTA COM ENCARGOS COMPLEMENTARES (ELETRICA)</v>
      </c>
      <c r="D10" s="1014"/>
      <c r="E10" s="1014"/>
      <c r="F10" s="1014"/>
      <c r="G10" s="728" t="str">
        <f>ORÇAMENTO!E13</f>
        <v xml:space="preserve">H </v>
      </c>
      <c r="H10" s="344">
        <f>H11</f>
        <v>1056</v>
      </c>
      <c r="I10" s="345"/>
      <c r="J10" s="429"/>
      <c r="K10" s="345"/>
      <c r="L10" s="429"/>
      <c r="M10" s="345"/>
      <c r="N10" s="429"/>
      <c r="O10" s="429"/>
    </row>
    <row r="11" spans="1:15" s="311" customFormat="1" ht="12.6" customHeight="1">
      <c r="A11" s="464"/>
      <c r="B11" s="464"/>
      <c r="C11" s="1009" t="s">
        <v>1452</v>
      </c>
      <c r="D11" s="1009"/>
      <c r="E11" s="1009"/>
      <c r="F11" s="1009"/>
      <c r="G11" s="695"/>
      <c r="H11" s="464">
        <f>22*8*6</f>
        <v>1056</v>
      </c>
      <c r="I11" s="444"/>
      <c r="J11" s="444"/>
      <c r="K11" s="463"/>
      <c r="L11" s="463"/>
      <c r="M11" s="463"/>
      <c r="N11" s="697"/>
      <c r="O11" s="697"/>
    </row>
    <row r="12" spans="1:15" ht="12.6" customHeight="1">
      <c r="A12" s="377">
        <f>ORÇAMENTO!A14</f>
        <v>90780</v>
      </c>
      <c r="B12" s="377" t="str">
        <f>ORÇAMENTO!C14</f>
        <v>1.03</v>
      </c>
      <c r="C12" s="1004" t="str">
        <f>ORÇAMENTO!D14</f>
        <v>MESTRE DE OBRAS COM ENCARGOS COMPLEMENTARES</v>
      </c>
      <c r="D12" s="1004"/>
      <c r="E12" s="1004"/>
      <c r="F12" s="1004"/>
      <c r="G12" s="378" t="str">
        <f>ORÇAMENTO!E14</f>
        <v xml:space="preserve">H </v>
      </c>
      <c r="H12" s="377">
        <f>H13</f>
        <v>1408</v>
      </c>
      <c r="I12" s="379"/>
      <c r="J12" s="380"/>
      <c r="K12" s="379"/>
      <c r="L12" s="380"/>
      <c r="M12" s="379"/>
      <c r="N12" s="380"/>
      <c r="O12" s="380"/>
    </row>
    <row r="13" spans="1:15" ht="12.6" customHeight="1">
      <c r="A13" s="342"/>
      <c r="B13" s="342"/>
      <c r="C13" s="1027" t="s">
        <v>1452</v>
      </c>
      <c r="D13" s="1027"/>
      <c r="E13" s="1027"/>
      <c r="F13" s="1027"/>
      <c r="G13" s="381"/>
      <c r="H13" s="342">
        <f>22*8*8</f>
        <v>1408</v>
      </c>
      <c r="I13" s="340"/>
      <c r="J13" s="340"/>
      <c r="K13" s="382"/>
      <c r="L13" s="382"/>
      <c r="M13" s="382"/>
      <c r="N13" s="458"/>
      <c r="O13" s="458"/>
    </row>
    <row r="14" spans="1:15" ht="12.6" customHeight="1">
      <c r="A14" s="344">
        <f>ORÇAMENTO!A15</f>
        <v>90776</v>
      </c>
      <c r="B14" s="344" t="str">
        <f>ORÇAMENTO!C15</f>
        <v>1.04</v>
      </c>
      <c r="C14" s="1020" t="str">
        <f>ORÇAMENTO!D15</f>
        <v>ENCARREGADO GERAL DE OBRAS (HORISTA)</v>
      </c>
      <c r="D14" s="1020"/>
      <c r="E14" s="1020"/>
      <c r="F14" s="1020"/>
      <c r="G14" s="344" t="str">
        <f>ORÇAMENTO!E15</f>
        <v xml:space="preserve">H </v>
      </c>
      <c r="H14" s="344">
        <f>H15</f>
        <v>1408</v>
      </c>
      <c r="I14" s="345"/>
      <c r="J14" s="429"/>
      <c r="K14" s="345"/>
      <c r="L14" s="429"/>
      <c r="M14" s="345"/>
      <c r="N14" s="429"/>
      <c r="O14" s="429"/>
    </row>
    <row r="15" spans="1:15" ht="12.6" customHeight="1">
      <c r="A15" s="342"/>
      <c r="B15" s="342"/>
      <c r="C15" s="1009" t="s">
        <v>1452</v>
      </c>
      <c r="D15" s="1009"/>
      <c r="E15" s="1009"/>
      <c r="F15" s="1009"/>
      <c r="G15" s="381"/>
      <c r="H15" s="447">
        <f>22*8*8</f>
        <v>1408</v>
      </c>
      <c r="I15" s="609"/>
      <c r="J15" s="609"/>
      <c r="K15" s="610"/>
      <c r="L15" s="610"/>
      <c r="M15" s="610"/>
      <c r="N15" s="680"/>
      <c r="O15" s="680"/>
    </row>
    <row r="16" spans="1:15" ht="19.899999999999999" customHeight="1">
      <c r="A16" s="377">
        <f>ORÇAMENTO!A16</f>
        <v>90766</v>
      </c>
      <c r="B16" s="377" t="str">
        <f>ORÇAMENTO!C16</f>
        <v>1.05</v>
      </c>
      <c r="C16" s="1071" t="str">
        <f>ORÇAMENTO!D16</f>
        <v>ALMOXARIFE COM ENCARGOS COMPLEMENTARES</v>
      </c>
      <c r="D16" s="1071"/>
      <c r="E16" s="1071"/>
      <c r="F16" s="1071"/>
      <c r="G16" s="377" t="str">
        <f>ORÇAMENTO!E16</f>
        <v xml:space="preserve">H </v>
      </c>
      <c r="H16" s="377">
        <f>H17</f>
        <v>1408</v>
      </c>
      <c r="I16" s="379"/>
      <c r="J16" s="380"/>
      <c r="K16" s="379"/>
      <c r="L16" s="380"/>
      <c r="M16" s="379"/>
      <c r="N16" s="380"/>
      <c r="O16" s="380"/>
    </row>
    <row r="17" spans="1:15" ht="12.6" customHeight="1">
      <c r="A17" s="342"/>
      <c r="B17" s="342"/>
      <c r="C17" s="1027" t="s">
        <v>1452</v>
      </c>
      <c r="D17" s="1027"/>
      <c r="E17" s="1027"/>
      <c r="F17" s="1027"/>
      <c r="G17" s="381"/>
      <c r="H17" s="337">
        <f>22*8*8</f>
        <v>1408</v>
      </c>
      <c r="I17" s="582"/>
      <c r="J17" s="582"/>
      <c r="K17" s="583"/>
      <c r="L17" s="583"/>
      <c r="M17" s="583"/>
      <c r="N17" s="589"/>
      <c r="O17" s="589"/>
    </row>
    <row r="18" spans="1:15" ht="33" customHeight="1">
      <c r="A18" s="377">
        <f>ORÇAMENTO!A17</f>
        <v>88326</v>
      </c>
      <c r="B18" s="377" t="str">
        <f>ORÇAMENTO!C17</f>
        <v>1.06</v>
      </c>
      <c r="C18" s="1071" t="str">
        <f>ORÇAMENTO!D17</f>
        <v>VIGIA NOTURNO COM ENCARGOS COMPLEMENTARES</v>
      </c>
      <c r="D18" s="1071"/>
      <c r="E18" s="1071"/>
      <c r="F18" s="1071"/>
      <c r="G18" s="377" t="str">
        <f>ORÇAMENTO!E17</f>
        <v>H</v>
      </c>
      <c r="H18" s="377">
        <f>H19</f>
        <v>2880</v>
      </c>
      <c r="I18" s="379"/>
      <c r="J18" s="380"/>
      <c r="K18" s="379"/>
      <c r="L18" s="380"/>
      <c r="M18" s="379"/>
      <c r="N18" s="380"/>
      <c r="O18" s="380"/>
    </row>
    <row r="19" spans="1:15" ht="12.6" customHeight="1">
      <c r="A19" s="342"/>
      <c r="B19" s="342"/>
      <c r="C19" s="1027" t="s">
        <v>1452</v>
      </c>
      <c r="D19" s="1027"/>
      <c r="E19" s="1027"/>
      <c r="F19" s="1027"/>
      <c r="G19" s="381"/>
      <c r="H19" s="337">
        <f>30*12*8</f>
        <v>2880</v>
      </c>
      <c r="I19" s="582"/>
      <c r="J19" s="582"/>
      <c r="K19" s="583"/>
      <c r="L19" s="583"/>
      <c r="M19" s="583"/>
      <c r="N19" s="589"/>
      <c r="O19" s="589"/>
    </row>
    <row r="20" spans="1:15" ht="33" customHeight="1">
      <c r="A20" s="377">
        <f>ORÇAMENTO!A18</f>
        <v>100289</v>
      </c>
      <c r="B20" s="377" t="str">
        <f>ORÇAMENTO!C18</f>
        <v>1.07</v>
      </c>
      <c r="C20" s="1047" t="str">
        <f>ORÇAMENTO!D18</f>
        <v>VIGIA DIURNO COM ENCARGOS COMPLEMENTARES</v>
      </c>
      <c r="D20" s="1047"/>
      <c r="E20" s="1047"/>
      <c r="F20" s="1047"/>
      <c r="G20" s="377" t="str">
        <f>ORÇAMENTO!E18</f>
        <v>H</v>
      </c>
      <c r="H20" s="377">
        <f>H21</f>
        <v>1152</v>
      </c>
      <c r="I20" s="379"/>
      <c r="J20" s="380"/>
      <c r="K20" s="379"/>
      <c r="L20" s="380"/>
      <c r="M20" s="379"/>
      <c r="N20" s="380"/>
      <c r="O20" s="380"/>
    </row>
    <row r="21" spans="1:15" ht="12.6" customHeight="1">
      <c r="A21" s="342"/>
      <c r="B21" s="342"/>
      <c r="C21" s="1027" t="s">
        <v>1452</v>
      </c>
      <c r="D21" s="1027"/>
      <c r="E21" s="1027"/>
      <c r="F21" s="1027"/>
      <c r="G21" s="381"/>
      <c r="H21" s="337">
        <f>8*12*8*1.5</f>
        <v>1152</v>
      </c>
      <c r="I21" s="582"/>
      <c r="J21" s="582"/>
      <c r="K21" s="583"/>
      <c r="L21" s="583"/>
      <c r="M21" s="583"/>
      <c r="N21" s="589"/>
      <c r="O21" s="589"/>
    </row>
    <row r="22" spans="1:15" ht="33" customHeight="1">
      <c r="A22" s="377">
        <f>ORÇAMENTO!A342</f>
        <v>91677</v>
      </c>
      <c r="B22" s="377" t="str">
        <f>ORÇAMENTO!C342</f>
        <v>15.01.01</v>
      </c>
      <c r="C22" s="1047" t="str">
        <f>ORÇAMENTO!D342</f>
        <v>ENGENHEIRO ELETRICISTA COM ENCARGOS COMPLEMENTARES</v>
      </c>
      <c r="D22" s="1047"/>
      <c r="E22" s="1047"/>
      <c r="F22" s="1047"/>
      <c r="G22" s="377" t="str">
        <f>ORÇAMENTO!E342</f>
        <v>H</v>
      </c>
      <c r="H22" s="377">
        <f>SUM(H23:H26)</f>
        <v>176</v>
      </c>
      <c r="I22" s="379"/>
      <c r="J22" s="380"/>
      <c r="K22" s="379"/>
      <c r="L22" s="380"/>
      <c r="M22" s="379"/>
      <c r="N22" s="380"/>
      <c r="O22" s="380"/>
    </row>
    <row r="23" spans="1:15" ht="12.6" customHeight="1">
      <c r="A23" s="342"/>
      <c r="B23" s="342"/>
      <c r="C23" s="1027" t="s">
        <v>1453</v>
      </c>
      <c r="D23" s="1027"/>
      <c r="E23" s="1027"/>
      <c r="F23" s="1027"/>
      <c r="G23" s="381"/>
      <c r="H23" s="337">
        <f>8*2</f>
        <v>16</v>
      </c>
      <c r="I23" s="582"/>
      <c r="J23" s="582"/>
      <c r="K23" s="583"/>
      <c r="L23" s="583"/>
      <c r="M23" s="583"/>
      <c r="N23" s="589"/>
      <c r="O23" s="589"/>
    </row>
    <row r="24" spans="1:15" ht="12.6" customHeight="1">
      <c r="A24" s="342"/>
      <c r="B24" s="342"/>
      <c r="C24" s="1027" t="s">
        <v>1454</v>
      </c>
      <c r="D24" s="1027"/>
      <c r="E24" s="1027"/>
      <c r="F24" s="1027"/>
      <c r="G24" s="381"/>
      <c r="H24" s="337">
        <f>8*5</f>
        <v>40</v>
      </c>
      <c r="I24" s="582"/>
      <c r="J24" s="582"/>
      <c r="K24" s="583"/>
      <c r="L24" s="583"/>
      <c r="M24" s="583"/>
      <c r="N24" s="589"/>
      <c r="O24" s="589"/>
    </row>
    <row r="25" spans="1:15" ht="12.6" customHeight="1">
      <c r="A25" s="342"/>
      <c r="B25" s="342"/>
      <c r="C25" s="1027" t="s">
        <v>1455</v>
      </c>
      <c r="D25" s="1027"/>
      <c r="E25" s="1027"/>
      <c r="F25" s="1027"/>
      <c r="G25" s="381"/>
      <c r="H25" s="337">
        <f>5*8</f>
        <v>40</v>
      </c>
      <c r="I25" s="582"/>
      <c r="J25" s="582"/>
      <c r="K25" s="583"/>
      <c r="L25" s="583"/>
      <c r="M25" s="583"/>
      <c r="N25" s="589"/>
      <c r="O25" s="589"/>
    </row>
    <row r="26" spans="1:15" ht="12.6" customHeight="1">
      <c r="A26" s="342"/>
      <c r="B26" s="342"/>
      <c r="C26" s="1027" t="s">
        <v>1456</v>
      </c>
      <c r="D26" s="1027"/>
      <c r="E26" s="1027"/>
      <c r="F26" s="1027"/>
      <c r="G26" s="381"/>
      <c r="H26" s="337">
        <f>10*8</f>
        <v>80</v>
      </c>
      <c r="I26" s="582"/>
      <c r="J26" s="582"/>
      <c r="K26" s="583"/>
      <c r="L26" s="583"/>
      <c r="M26" s="583"/>
      <c r="N26" s="589"/>
      <c r="O26" s="589"/>
    </row>
    <row r="27" spans="1:15" ht="12.6" customHeight="1">
      <c r="A27" s="1081"/>
      <c r="B27" s="1081"/>
      <c r="C27" s="1081"/>
      <c r="D27" s="1081"/>
      <c r="E27" s="1081"/>
      <c r="F27" s="1081"/>
      <c r="G27" s="1081"/>
      <c r="H27" s="1081"/>
      <c r="I27" s="1081"/>
      <c r="J27" s="1081"/>
      <c r="K27" s="1081"/>
      <c r="L27" s="1081"/>
      <c r="M27" s="1081"/>
      <c r="N27" s="1081"/>
      <c r="O27" s="1081"/>
    </row>
    <row r="28" spans="1:15" ht="12.6" customHeight="1">
      <c r="A28" s="373" t="s">
        <v>11</v>
      </c>
      <c r="B28" s="374" t="s">
        <v>13</v>
      </c>
      <c r="C28" s="1007" t="s">
        <v>1443</v>
      </c>
      <c r="D28" s="1007"/>
      <c r="E28" s="1007"/>
      <c r="F28" s="1007"/>
      <c r="G28" s="374" t="s">
        <v>15</v>
      </c>
      <c r="H28" s="375" t="s">
        <v>1444</v>
      </c>
      <c r="I28" s="106" t="s">
        <v>1445</v>
      </c>
      <c r="J28" s="106" t="s">
        <v>1446</v>
      </c>
      <c r="K28" s="375" t="s">
        <v>1447</v>
      </c>
      <c r="L28" s="375" t="s">
        <v>1448</v>
      </c>
      <c r="M28" s="374" t="s">
        <v>1457</v>
      </c>
      <c r="N28" s="375" t="s">
        <v>1450</v>
      </c>
      <c r="O28" s="375" t="s">
        <v>1451</v>
      </c>
    </row>
    <row r="29" spans="1:15" ht="12.6" customHeight="1">
      <c r="A29" s="376"/>
      <c r="B29" s="376" t="str">
        <f>ORÇAMENTO!C19</f>
        <v>2.00</v>
      </c>
      <c r="C29" s="1067" t="str">
        <f>ORÇAMENTO!D19</f>
        <v>SERVIÇOS PRELIMINARES</v>
      </c>
      <c r="D29" s="1067"/>
      <c r="E29" s="1067"/>
      <c r="F29" s="1067"/>
      <c r="G29" s="1039"/>
      <c r="H29" s="1039"/>
      <c r="I29" s="1039"/>
      <c r="J29" s="1039"/>
      <c r="K29" s="1039"/>
      <c r="L29" s="1039"/>
      <c r="M29" s="1039"/>
      <c r="N29" s="1039"/>
      <c r="O29" s="1039"/>
    </row>
    <row r="30" spans="1:15" ht="12.6" customHeight="1">
      <c r="A30" s="376"/>
      <c r="B30" s="376" t="str">
        <f>ORÇAMENTO!C20</f>
        <v>2.01</v>
      </c>
      <c r="C30" s="1067" t="str">
        <f>ORÇAMENTO!D20</f>
        <v>MOBILIZAÇÃO / DESMOBILIZAÇÃO</v>
      </c>
      <c r="D30" s="1067"/>
      <c r="E30" s="1067"/>
      <c r="F30" s="1067"/>
      <c r="G30" s="1039"/>
      <c r="H30" s="1039"/>
      <c r="I30" s="1039"/>
      <c r="J30" s="1039"/>
      <c r="K30" s="1039"/>
      <c r="L30" s="1039"/>
      <c r="M30" s="1039"/>
      <c r="N30" s="1039"/>
      <c r="O30" s="1039"/>
    </row>
    <row r="31" spans="1:15" ht="83.25" customHeight="1">
      <c r="A31" s="377">
        <f>ORÇAMENTO!A21</f>
        <v>73467</v>
      </c>
      <c r="B31" s="377" t="str">
        <f>ORÇAMENTO!C21</f>
        <v>2.01.01</v>
      </c>
      <c r="C31" s="1047" t="str">
        <f>ORÇAMENTO!D21</f>
        <v>CAMINHÃO TOCO, PBT 14.300 KG, CARGA ÚTIL MÁX. 9.710 KG, DIST. ENTRE EIXOS 3,56 M, POTÊNCIA 185 CV, INCLUSIVE CARROCERIA FIXA ABERTA DE MADEIRA P/ TRANSPORTE GERAL DE CARGA SECA, DIMEN. APROX. 2,50 X 6,50 X 0,50M - CHP DIURNO. AF_06/2014 (TRANSPORTE DO TRANSFORMADOR INCLUSO)</v>
      </c>
      <c r="D31" s="1047"/>
      <c r="E31" s="1047"/>
      <c r="F31" s="1047"/>
      <c r="G31" s="377" t="str">
        <f>ORÇAMENTO!E21</f>
        <v>CHP</v>
      </c>
      <c r="H31" s="383">
        <f>H32</f>
        <v>520</v>
      </c>
      <c r="I31" s="379"/>
      <c r="J31" s="380"/>
      <c r="K31" s="379"/>
      <c r="L31" s="380"/>
      <c r="M31" s="379"/>
      <c r="N31" s="380"/>
      <c r="O31" s="380"/>
    </row>
    <row r="32" spans="1:15" ht="12.75" customHeight="1">
      <c r="A32" s="342"/>
      <c r="B32" s="342"/>
      <c r="C32" s="1027" t="s">
        <v>1458</v>
      </c>
      <c r="D32" s="1027"/>
      <c r="E32" s="1027"/>
      <c r="F32" s="1027"/>
      <c r="G32" s="384"/>
      <c r="H32" s="385">
        <v>520</v>
      </c>
      <c r="I32" s="582"/>
      <c r="J32" s="582"/>
      <c r="K32" s="583"/>
      <c r="L32" s="583"/>
      <c r="M32" s="583"/>
      <c r="N32" s="589"/>
      <c r="O32" s="589"/>
    </row>
    <row r="33" spans="1:15" ht="12.75" customHeight="1">
      <c r="A33" s="377">
        <f>ORÇAMENTO!A23</f>
        <v>0</v>
      </c>
      <c r="B33" s="377" t="str">
        <f>ORÇAMENTO!C23</f>
        <v>2.02.01</v>
      </c>
      <c r="C33" s="1047" t="str">
        <f>ORÇAMENTO!D23</f>
        <v>ART/RRT DO CONTRATO</v>
      </c>
      <c r="D33" s="1047"/>
      <c r="E33" s="1047"/>
      <c r="F33" s="1047"/>
      <c r="G33" s="377" t="str">
        <f>ORÇAMENTO!E23</f>
        <v xml:space="preserve">UN </v>
      </c>
      <c r="H33" s="377">
        <v>1</v>
      </c>
      <c r="I33" s="379"/>
      <c r="J33" s="380"/>
      <c r="K33" s="379"/>
      <c r="L33" s="380"/>
      <c r="M33" s="379"/>
      <c r="N33" s="380"/>
      <c r="O33" s="380"/>
    </row>
    <row r="34" spans="1:15" ht="12.75" customHeight="1">
      <c r="A34" s="342"/>
      <c r="B34" s="342"/>
      <c r="C34" s="1027" t="s">
        <v>1459</v>
      </c>
      <c r="D34" s="1027"/>
      <c r="E34" s="1027"/>
      <c r="F34" s="1027"/>
      <c r="G34" s="343" t="s">
        <v>96</v>
      </c>
      <c r="H34" s="584">
        <v>1</v>
      </c>
      <c r="I34" s="582"/>
      <c r="J34" s="582"/>
      <c r="K34" s="583"/>
      <c r="L34" s="583"/>
      <c r="M34" s="583"/>
      <c r="N34" s="589"/>
      <c r="O34" s="589"/>
    </row>
    <row r="35" spans="1:15" ht="12.75" customHeight="1">
      <c r="A35" s="376"/>
      <c r="B35" s="376" t="str">
        <f>ORÇAMENTO!C22</f>
        <v>2.02</v>
      </c>
      <c r="C35" s="1066" t="str">
        <f>ORÇAMENTO!D22</f>
        <v>SERVIÇOS TÉCNICOS</v>
      </c>
      <c r="D35" s="1066"/>
      <c r="E35" s="1066"/>
      <c r="F35" s="1066"/>
      <c r="G35" s="1039"/>
      <c r="H35" s="1039"/>
      <c r="I35" s="1039"/>
      <c r="J35" s="1039"/>
      <c r="K35" s="1039"/>
      <c r="L35" s="1039"/>
      <c r="M35" s="1039"/>
      <c r="N35" s="1039"/>
      <c r="O35" s="1039"/>
    </row>
    <row r="36" spans="1:15" ht="12.75" customHeight="1">
      <c r="A36" s="377">
        <f>ORÇAMENTO!A24</f>
        <v>0</v>
      </c>
      <c r="B36" s="377" t="str">
        <f>ORÇAMENTO!C24</f>
        <v>2.02.02</v>
      </c>
      <c r="C36" s="1047" t="str">
        <f>ORÇAMENTO!D24</f>
        <v>ART/RRT DO TRANSFORMADOR</v>
      </c>
      <c r="D36" s="1047"/>
      <c r="E36" s="1047"/>
      <c r="F36" s="1047"/>
      <c r="G36" s="377" t="str">
        <f>ORÇAMENTO!E24</f>
        <v xml:space="preserve">UN </v>
      </c>
      <c r="H36" s="383">
        <f>H37</f>
        <v>1</v>
      </c>
      <c r="I36" s="379"/>
      <c r="J36" s="380"/>
      <c r="K36" s="379"/>
      <c r="L36" s="380"/>
      <c r="M36" s="379"/>
      <c r="N36" s="380"/>
      <c r="O36" s="380"/>
    </row>
    <row r="37" spans="1:15" ht="12.75" customHeight="1">
      <c r="A37" s="342"/>
      <c r="B37" s="342"/>
      <c r="C37" s="1027" t="s">
        <v>1459</v>
      </c>
      <c r="D37" s="1027"/>
      <c r="E37" s="1027"/>
      <c r="F37" s="1027"/>
      <c r="G37" s="343" t="s">
        <v>96</v>
      </c>
      <c r="H37" s="584">
        <v>1</v>
      </c>
      <c r="I37" s="582"/>
      <c r="J37" s="582"/>
      <c r="K37" s="583"/>
      <c r="L37" s="583"/>
      <c r="M37" s="583"/>
      <c r="N37" s="589"/>
      <c r="O37" s="589"/>
    </row>
    <row r="38" spans="1:15" ht="12.75" customHeight="1">
      <c r="A38" s="377">
        <f>ORÇAMENTO!A25</f>
        <v>0</v>
      </c>
      <c r="B38" s="377" t="str">
        <f>ORÇAMENTO!C25</f>
        <v>2.02.03</v>
      </c>
      <c r="C38" s="1047" t="str">
        <f>ORÇAMENTO!D25</f>
        <v>ALVARÁ PARA CONSTRUÇÃO</v>
      </c>
      <c r="D38" s="1047"/>
      <c r="E38" s="1047"/>
      <c r="F38" s="1047"/>
      <c r="G38" s="377" t="str">
        <f>ORÇAMENTO!E25</f>
        <v>M²</v>
      </c>
      <c r="H38" s="377"/>
      <c r="I38" s="379"/>
      <c r="J38" s="380"/>
      <c r="K38" s="379"/>
      <c r="L38" s="380"/>
      <c r="M38" s="379"/>
      <c r="N38" s="380">
        <f>N39</f>
        <v>2932.4</v>
      </c>
      <c r="O38" s="380"/>
    </row>
    <row r="39" spans="1:15" ht="12.75" customHeight="1">
      <c r="A39" s="342"/>
      <c r="B39" s="342"/>
      <c r="C39" s="1027" t="s">
        <v>1460</v>
      </c>
      <c r="D39" s="1027"/>
      <c r="E39" s="1027"/>
      <c r="F39" s="1027"/>
      <c r="G39" s="343" t="s">
        <v>61</v>
      </c>
      <c r="H39" s="584"/>
      <c r="I39" s="582"/>
      <c r="J39" s="582"/>
      <c r="K39" s="583"/>
      <c r="L39" s="583"/>
      <c r="M39" s="583"/>
      <c r="N39" s="589">
        <v>2932.4</v>
      </c>
      <c r="O39" s="589"/>
    </row>
    <row r="40" spans="1:15" ht="12.75" customHeight="1">
      <c r="A40" s="377">
        <f>ORÇAMENTO!A26</f>
        <v>0</v>
      </c>
      <c r="B40" s="377" t="str">
        <f>ORÇAMENTO!C26</f>
        <v>2.02.04</v>
      </c>
      <c r="C40" s="1047" t="str">
        <f>ORÇAMENTO!D26</f>
        <v xml:space="preserve">HABITE-SE </v>
      </c>
      <c r="D40" s="1047"/>
      <c r="E40" s="1047"/>
      <c r="F40" s="1047"/>
      <c r="G40" s="377" t="str">
        <f>ORÇAMENTO!E26</f>
        <v>M²</v>
      </c>
      <c r="H40" s="377"/>
      <c r="I40" s="379"/>
      <c r="J40" s="380"/>
      <c r="K40" s="379"/>
      <c r="L40" s="380"/>
      <c r="M40" s="379"/>
      <c r="N40" s="380">
        <f>N41</f>
        <v>2932.4</v>
      </c>
      <c r="O40" s="380"/>
    </row>
    <row r="41" spans="1:15" ht="12.75" customHeight="1">
      <c r="A41" s="342"/>
      <c r="B41" s="342"/>
      <c r="C41" s="1027" t="s">
        <v>1460</v>
      </c>
      <c r="D41" s="1027"/>
      <c r="E41" s="1027"/>
      <c r="F41" s="1027"/>
      <c r="G41" s="343" t="s">
        <v>61</v>
      </c>
      <c r="H41" s="584"/>
      <c r="I41" s="582"/>
      <c r="J41" s="582"/>
      <c r="K41" s="583"/>
      <c r="L41" s="583"/>
      <c r="M41" s="583"/>
      <c r="N41" s="589">
        <v>2932.4</v>
      </c>
      <c r="O41" s="589"/>
    </row>
    <row r="42" spans="1:15" ht="12.75" customHeight="1">
      <c r="A42" s="376"/>
      <c r="B42" s="376" t="str">
        <f>ORÇAMENTO!C27</f>
        <v>2.03</v>
      </c>
      <c r="C42" s="1066" t="str">
        <f>ORÇAMENTO!D27</f>
        <v>SERVIÇOS INICIAIS</v>
      </c>
      <c r="D42" s="1066"/>
      <c r="E42" s="1066"/>
      <c r="F42" s="1066"/>
      <c r="G42" s="1039"/>
      <c r="H42" s="1039"/>
      <c r="I42" s="1039"/>
      <c r="J42" s="1039"/>
      <c r="K42" s="1039"/>
      <c r="L42" s="1039"/>
      <c r="M42" s="1039"/>
      <c r="N42" s="1039"/>
      <c r="O42" s="1039"/>
    </row>
    <row r="43" spans="1:15" ht="36.75" customHeight="1">
      <c r="A43" s="377">
        <f>ORÇAMENTO!A28</f>
        <v>9416</v>
      </c>
      <c r="B43" s="377" t="str">
        <f>ORÇAMENTO!C28</f>
        <v>2.03.01</v>
      </c>
      <c r="C43" s="1047" t="str">
        <f>ORÇAMENTO!D28</f>
        <v>INSTALAÇÃO PROVISÓRIA DE ENERGIA ELÉTRICA, AEREA, TRIFASICA, EM POSTE GALVANIZADO, EXCLUSIVE FORNECIMENTO DO MEDIDOR</v>
      </c>
      <c r="D43" s="1047"/>
      <c r="E43" s="1047"/>
      <c r="F43" s="1047"/>
      <c r="G43" s="377" t="str">
        <f>ORÇAMENTO!E28</f>
        <v xml:space="preserve">UN </v>
      </c>
      <c r="H43" s="383">
        <f>H44</f>
        <v>1</v>
      </c>
      <c r="I43" s="379"/>
      <c r="J43" s="380"/>
      <c r="K43" s="379"/>
      <c r="L43" s="380"/>
      <c r="M43" s="379"/>
      <c r="N43" s="380">
        <f>N44</f>
        <v>0</v>
      </c>
      <c r="O43" s="380"/>
    </row>
    <row r="44" spans="1:15" ht="12.75" customHeight="1">
      <c r="A44" s="342"/>
      <c r="B44" s="342"/>
      <c r="C44" s="1027" t="s">
        <v>1461</v>
      </c>
      <c r="D44" s="1027"/>
      <c r="E44" s="1027"/>
      <c r="F44" s="1027"/>
      <c r="G44" s="343" t="s">
        <v>96</v>
      </c>
      <c r="H44" s="584">
        <v>1</v>
      </c>
      <c r="I44" s="582"/>
      <c r="J44" s="582"/>
      <c r="K44" s="583"/>
      <c r="L44" s="583"/>
      <c r="M44" s="583"/>
      <c r="N44" s="589"/>
      <c r="O44" s="589"/>
    </row>
    <row r="45" spans="1:15" ht="37.5" customHeight="1">
      <c r="A45" s="377">
        <f>ORÇAMENTO!A29</f>
        <v>6096</v>
      </c>
      <c r="B45" s="377" t="str">
        <f>ORÇAMENTO!C29</f>
        <v>2.03.02</v>
      </c>
      <c r="C45" s="1047" t="str">
        <f>ORÇAMENTO!D29</f>
        <v>LIGAÇÃO PREDIAL DE ÁGUA EM MURETA DE CONCRETO, PROVISÓRIA OU DEFINITIVA, COM FORNECIMENTO DE MATERIAL, INCLUSIVE MURETA E HIDRÔMETRO, REDE DN 50MM - REV 03_10/2022</v>
      </c>
      <c r="D45" s="1047"/>
      <c r="E45" s="1047"/>
      <c r="F45" s="1047"/>
      <c r="G45" s="377" t="str">
        <f>ORÇAMENTO!E29</f>
        <v xml:space="preserve">UN </v>
      </c>
      <c r="H45" s="383">
        <f>H46</f>
        <v>1</v>
      </c>
      <c r="I45" s="379"/>
      <c r="J45" s="380"/>
      <c r="K45" s="379"/>
      <c r="L45" s="380"/>
      <c r="M45" s="379"/>
      <c r="N45" s="380">
        <f>N46</f>
        <v>0</v>
      </c>
      <c r="O45" s="380"/>
    </row>
    <row r="46" spans="1:15" ht="12.75" customHeight="1">
      <c r="A46" s="342"/>
      <c r="B46" s="342"/>
      <c r="C46" s="1027" t="s">
        <v>1462</v>
      </c>
      <c r="D46" s="1027"/>
      <c r="E46" s="1027"/>
      <c r="F46" s="1027"/>
      <c r="G46" s="343" t="s">
        <v>96</v>
      </c>
      <c r="H46" s="584">
        <v>1</v>
      </c>
      <c r="I46" s="582"/>
      <c r="J46" s="582"/>
      <c r="K46" s="583"/>
      <c r="L46" s="583"/>
      <c r="M46" s="583"/>
      <c r="N46" s="589"/>
      <c r="O46" s="589"/>
    </row>
    <row r="47" spans="1:15" ht="48" customHeight="1">
      <c r="A47" s="377">
        <f>ORÇAMENTO!A30</f>
        <v>11397</v>
      </c>
      <c r="B47" s="377" t="str">
        <f>ORÇAMENTO!C30</f>
        <v>2.03.03</v>
      </c>
      <c r="C47" s="1047" t="str">
        <f>ORÇAMENTO!D30</f>
        <v>PLACA DE OBRA EM LONA COM IMPRESSÃO DIGITAL 1,50 X 2,00M, INCLUSIVE ESTRUTURA EM METALON 20 X 20CM E ESCORAMENTO, INSTALADA</v>
      </c>
      <c r="D47" s="1047"/>
      <c r="E47" s="1047"/>
      <c r="F47" s="1047"/>
      <c r="G47" s="377" t="str">
        <f>ORÇAMENTO!E30</f>
        <v xml:space="preserve">UN </v>
      </c>
      <c r="H47" s="383">
        <f>H48</f>
        <v>1</v>
      </c>
      <c r="I47" s="379"/>
      <c r="J47" s="380"/>
      <c r="K47" s="379"/>
      <c r="L47" s="380"/>
      <c r="M47" s="379"/>
      <c r="N47" s="380">
        <f>N48</f>
        <v>0</v>
      </c>
      <c r="O47" s="380"/>
    </row>
    <row r="48" spans="1:15" ht="12.75" customHeight="1">
      <c r="A48" s="342"/>
      <c r="B48" s="342"/>
      <c r="C48" s="1027" t="s">
        <v>1463</v>
      </c>
      <c r="D48" s="1027"/>
      <c r="E48" s="1027"/>
      <c r="F48" s="1027"/>
      <c r="G48" s="343" t="s">
        <v>96</v>
      </c>
      <c r="H48" s="584">
        <v>1</v>
      </c>
      <c r="I48" s="582"/>
      <c r="J48" s="582"/>
      <c r="K48" s="583"/>
      <c r="L48" s="583"/>
      <c r="M48" s="583"/>
      <c r="N48" s="589"/>
      <c r="O48" s="589"/>
    </row>
    <row r="49" spans="1:15" ht="28.5" customHeight="1">
      <c r="A49" s="377">
        <f>ORÇAMENTO!A31</f>
        <v>2491</v>
      </c>
      <c r="B49" s="377" t="str">
        <f>ORÇAMENTO!C31</f>
        <v>2.03.04</v>
      </c>
      <c r="C49" s="1047" t="str">
        <f>ORÇAMENTO!D31</f>
        <v>DESMATAMENTO, DESTOCAMENTO E LIMPEZA MECANIZADA DE TERRENO C/ÁRVORES DE DIÂM. ATÉ 0,15M</v>
      </c>
      <c r="D49" s="1047"/>
      <c r="E49" s="1047"/>
      <c r="F49" s="1047"/>
      <c r="G49" s="377" t="str">
        <f>ORÇAMENTO!E31</f>
        <v>M²</v>
      </c>
      <c r="H49" s="377"/>
      <c r="I49" s="379"/>
      <c r="J49" s="380"/>
      <c r="K49" s="379"/>
      <c r="L49" s="380"/>
      <c r="M49" s="379"/>
      <c r="N49" s="380">
        <f>SUM(N50:N51)</f>
        <v>2895.75</v>
      </c>
      <c r="O49" s="380"/>
    </row>
    <row r="50" spans="1:15" ht="12.75" customHeight="1">
      <c r="A50" s="342"/>
      <c r="B50" s="342"/>
      <c r="C50" s="1027" t="s">
        <v>1464</v>
      </c>
      <c r="D50" s="1027"/>
      <c r="E50" s="1027"/>
      <c r="F50" s="1027"/>
      <c r="G50" s="343" t="s">
        <v>61</v>
      </c>
      <c r="H50" s="585"/>
      <c r="I50" s="586"/>
      <c r="J50" s="586"/>
      <c r="K50" s="587"/>
      <c r="L50" s="587"/>
      <c r="M50" s="587"/>
      <c r="N50" s="592">
        <v>1867.23</v>
      </c>
      <c r="O50" s="592"/>
    </row>
    <row r="51" spans="1:15" ht="12.75" customHeight="1">
      <c r="A51" s="342"/>
      <c r="B51" s="342"/>
      <c r="C51" s="1027" t="s">
        <v>1465</v>
      </c>
      <c r="D51" s="1027"/>
      <c r="E51" s="1027"/>
      <c r="F51" s="1027"/>
      <c r="G51" s="343" t="s">
        <v>61</v>
      </c>
      <c r="H51" s="585"/>
      <c r="I51" s="586"/>
      <c r="J51" s="586"/>
      <c r="K51" s="587"/>
      <c r="L51" s="587"/>
      <c r="M51" s="587"/>
      <c r="N51" s="592">
        <v>1028.52</v>
      </c>
      <c r="O51" s="592"/>
    </row>
    <row r="52" spans="1:15" ht="12.75" customHeight="1">
      <c r="A52" s="377">
        <f>ORÇAMENTO!A32</f>
        <v>98459</v>
      </c>
      <c r="B52" s="377" t="str">
        <f>ORÇAMENTO!C32</f>
        <v>2.03.05</v>
      </c>
      <c r="C52" s="1047" t="str">
        <f>ORÇAMENTO!D32</f>
        <v>TAPUME COM TELHA METÁLICA. AF_05/2018</v>
      </c>
      <c r="D52" s="1047"/>
      <c r="E52" s="1047"/>
      <c r="F52" s="1047"/>
      <c r="G52" s="377" t="str">
        <f>ORÇAMENTO!E32</f>
        <v>M²</v>
      </c>
      <c r="H52" s="377"/>
      <c r="I52" s="379"/>
      <c r="J52" s="380"/>
      <c r="K52" s="379"/>
      <c r="L52" s="380"/>
      <c r="M52" s="379"/>
      <c r="N52" s="380">
        <f>SUM(N53:N54)</f>
        <v>190.54200000000003</v>
      </c>
      <c r="O52" s="380"/>
    </row>
    <row r="53" spans="1:15" ht="12.75" customHeight="1">
      <c r="A53" s="342"/>
      <c r="B53" s="342"/>
      <c r="C53" s="1027" t="s">
        <v>1466</v>
      </c>
      <c r="D53" s="1027"/>
      <c r="E53" s="1027"/>
      <c r="F53" s="1027"/>
      <c r="G53" s="343" t="s">
        <v>61</v>
      </c>
      <c r="H53" s="584"/>
      <c r="I53" s="582"/>
      <c r="J53" s="582"/>
      <c r="K53" s="583">
        <v>2.2000000000000002</v>
      </c>
      <c r="L53" s="583">
        <v>33.22</v>
      </c>
      <c r="M53" s="583"/>
      <c r="N53" s="589">
        <f>K53*L53</f>
        <v>73.084000000000003</v>
      </c>
      <c r="O53" s="589"/>
    </row>
    <row r="54" spans="1:15" ht="12.75" customHeight="1">
      <c r="A54" s="342"/>
      <c r="B54" s="342"/>
      <c r="C54" s="1027" t="s">
        <v>1467</v>
      </c>
      <c r="D54" s="1027"/>
      <c r="E54" s="1027"/>
      <c r="F54" s="1027"/>
      <c r="G54" s="343" t="s">
        <v>61</v>
      </c>
      <c r="H54" s="584"/>
      <c r="I54" s="582"/>
      <c r="J54" s="582"/>
      <c r="K54" s="583">
        <v>2.2000000000000002</v>
      </c>
      <c r="L54" s="583">
        <f>53.39</f>
        <v>53.39</v>
      </c>
      <c r="M54" s="583"/>
      <c r="N54" s="589">
        <f>K54*L54</f>
        <v>117.45800000000001</v>
      </c>
      <c r="O54" s="589"/>
    </row>
    <row r="55" spans="1:15" ht="29.25" customHeight="1">
      <c r="A55" s="377">
        <f>ORÇAMENTO!A33</f>
        <v>4657</v>
      </c>
      <c r="B55" s="377" t="str">
        <f>ORÇAMENTO!C33</f>
        <v>2.03.06</v>
      </c>
      <c r="C55" s="1047" t="str">
        <f>ORÇAMENTO!D33</f>
        <v>LOCAÇÃO DE CONTAINER - ESCRITÓRIO COM BANHEIRO - 6,20 X 2,40M - REV 02_02/2022</v>
      </c>
      <c r="D55" s="1047"/>
      <c r="E55" s="1047"/>
      <c r="F55" s="1047"/>
      <c r="G55" s="377" t="str">
        <f>ORÇAMENTO!E33</f>
        <v>MÊS</v>
      </c>
      <c r="H55" s="383">
        <f>H56</f>
        <v>8</v>
      </c>
      <c r="I55" s="379"/>
      <c r="J55" s="380"/>
      <c r="K55" s="379"/>
      <c r="L55" s="380"/>
      <c r="M55" s="379"/>
      <c r="N55" s="380"/>
      <c r="O55" s="380"/>
    </row>
    <row r="56" spans="1:15" ht="12.75" customHeight="1">
      <c r="A56" s="342"/>
      <c r="B56" s="342"/>
      <c r="C56" s="1027" t="s">
        <v>1468</v>
      </c>
      <c r="D56" s="1027"/>
      <c r="E56" s="1027"/>
      <c r="F56" s="1027"/>
      <c r="G56" s="343" t="s">
        <v>80</v>
      </c>
      <c r="H56" s="585">
        <v>8</v>
      </c>
      <c r="I56" s="586"/>
      <c r="J56" s="586"/>
      <c r="K56" s="587"/>
      <c r="L56" s="587"/>
      <c r="M56" s="587"/>
      <c r="N56" s="592"/>
      <c r="O56" s="592"/>
    </row>
    <row r="57" spans="1:15" ht="31.5" customHeight="1">
      <c r="A57" s="377">
        <f>ORÇAMENTO!A34</f>
        <v>61</v>
      </c>
      <c r="B57" s="377" t="str">
        <f>ORÇAMENTO!C34</f>
        <v>2.03.07</v>
      </c>
      <c r="C57" s="1047" t="str">
        <f>ORÇAMENTO!D34</f>
        <v>BARRACÃO ABERTO PARA REFEITÓRIO DE OBRA (CAPACIDADE 24 REFEIÇÕES SIMULTÂNEAS)-S=61,60M² COM MATERIAIS NOVOS</v>
      </c>
      <c r="D57" s="1047"/>
      <c r="E57" s="1047"/>
      <c r="F57" s="1047"/>
      <c r="G57" s="377" t="str">
        <f>ORÇAMENTO!E34</f>
        <v xml:space="preserve">UN </v>
      </c>
      <c r="H57" s="383">
        <f>H58</f>
        <v>1</v>
      </c>
      <c r="I57" s="379"/>
      <c r="J57" s="380"/>
      <c r="K57" s="379"/>
      <c r="L57" s="380"/>
      <c r="M57" s="379"/>
      <c r="N57" s="380"/>
      <c r="O57" s="380"/>
    </row>
    <row r="58" spans="1:15" ht="12.75" customHeight="1">
      <c r="A58" s="342"/>
      <c r="B58" s="342"/>
      <c r="C58" s="1027" t="s">
        <v>1469</v>
      </c>
      <c r="D58" s="1027"/>
      <c r="E58" s="1027"/>
      <c r="F58" s="1027"/>
      <c r="G58" s="343" t="s">
        <v>80</v>
      </c>
      <c r="H58" s="585">
        <v>1</v>
      </c>
      <c r="I58" s="586"/>
      <c r="J58" s="586"/>
      <c r="K58" s="587"/>
      <c r="L58" s="587"/>
      <c r="M58" s="587"/>
      <c r="N58" s="592"/>
      <c r="O58" s="592"/>
    </row>
    <row r="59" spans="1:15" ht="31.5" customHeight="1">
      <c r="A59" s="377">
        <f>ORÇAMENTO!A35</f>
        <v>4654</v>
      </c>
      <c r="B59" s="377" t="str">
        <f>ORÇAMENTO!C35</f>
        <v>2.03.08</v>
      </c>
      <c r="C59" s="1047" t="str">
        <f>ORÇAMENTO!D35</f>
        <v>LOCAÇÃO DE CONTAINER - ALMOXARIFADO SEM BANHEIRO - 6,00 X 2,40M - REV 02_02/2022</v>
      </c>
      <c r="D59" s="1047"/>
      <c r="E59" s="1047"/>
      <c r="F59" s="1047"/>
      <c r="G59" s="377" t="str">
        <f>ORÇAMENTO!E35</f>
        <v>MÊS</v>
      </c>
      <c r="H59" s="383">
        <f>H60</f>
        <v>8</v>
      </c>
      <c r="I59" s="379"/>
      <c r="J59" s="380"/>
      <c r="K59" s="379"/>
      <c r="L59" s="380"/>
      <c r="M59" s="379"/>
      <c r="N59" s="380"/>
      <c r="O59" s="380"/>
    </row>
    <row r="60" spans="1:15" ht="12.75" customHeight="1">
      <c r="A60" s="342"/>
      <c r="B60" s="342"/>
      <c r="C60" s="1027" t="s">
        <v>1470</v>
      </c>
      <c r="D60" s="1027"/>
      <c r="E60" s="1027"/>
      <c r="F60" s="1027"/>
      <c r="G60" s="343" t="s">
        <v>80</v>
      </c>
      <c r="H60" s="585">
        <v>8</v>
      </c>
      <c r="I60" s="586"/>
      <c r="J60" s="586"/>
      <c r="K60" s="587"/>
      <c r="L60" s="587"/>
      <c r="M60" s="587"/>
      <c r="N60" s="592"/>
      <c r="O60" s="592"/>
    </row>
    <row r="61" spans="1:15" ht="32.25" customHeight="1">
      <c r="A61" s="377">
        <f>ORÇAMENTO!A36</f>
        <v>4656</v>
      </c>
      <c r="B61" s="377" t="str">
        <f>ORÇAMENTO!C36</f>
        <v>2.03.09</v>
      </c>
      <c r="C61" s="1047" t="str">
        <f>ORÇAMENTO!D36</f>
        <v>LOCAÇÃO DE CONTAINER - BANHEIRO COM CHUVEIROS E VASOS - 4,30 X 2,30M</v>
      </c>
      <c r="D61" s="1047"/>
      <c r="E61" s="1047"/>
      <c r="F61" s="1047"/>
      <c r="G61" s="377" t="str">
        <f>ORÇAMENTO!E36</f>
        <v>MÊS</v>
      </c>
      <c r="H61" s="383">
        <f>H62</f>
        <v>8</v>
      </c>
      <c r="I61" s="379"/>
      <c r="J61" s="380"/>
      <c r="K61" s="379"/>
      <c r="L61" s="380"/>
      <c r="M61" s="379"/>
      <c r="N61" s="380"/>
      <c r="O61" s="380"/>
    </row>
    <row r="62" spans="1:15" ht="12.75" customHeight="1">
      <c r="A62" s="342"/>
      <c r="B62" s="342"/>
      <c r="C62" s="1027" t="s">
        <v>1471</v>
      </c>
      <c r="D62" s="1027"/>
      <c r="E62" s="1027"/>
      <c r="F62" s="1027"/>
      <c r="G62" s="343" t="s">
        <v>80</v>
      </c>
      <c r="H62" s="585">
        <v>8</v>
      </c>
      <c r="I62" s="586"/>
      <c r="J62" s="586"/>
      <c r="K62" s="587"/>
      <c r="L62" s="587"/>
      <c r="M62" s="587"/>
      <c r="N62" s="592"/>
      <c r="O62" s="592"/>
    </row>
    <row r="63" spans="1:15" ht="24.75" customHeight="1">
      <c r="A63" s="377">
        <f>ORÇAMENTO!A37</f>
        <v>100947</v>
      </c>
      <c r="B63" s="377" t="str">
        <f>ORÇAMENTO!C37</f>
        <v>2.03.10</v>
      </c>
      <c r="C63" s="1047" t="str">
        <f>ORÇAMENTO!D37</f>
        <v>TRANSPORTE COM CAMINHÃO CARROCERIA 9T, EM VIA URBANA PAVIMENTADA, DMT ATÉ 30KM (UNIDADE: TXKM). AF_07/2020</v>
      </c>
      <c r="D63" s="1047"/>
      <c r="E63" s="1047"/>
      <c r="F63" s="1047"/>
      <c r="G63" s="377" t="str">
        <f>ORÇAMENTO!E37</f>
        <v>TXKM</v>
      </c>
      <c r="H63" s="383">
        <f>H64</f>
        <v>630</v>
      </c>
      <c r="I63" s="379"/>
      <c r="J63" s="380"/>
      <c r="K63" s="379"/>
      <c r="L63" s="380"/>
      <c r="M63" s="379"/>
      <c r="N63" s="380"/>
      <c r="O63" s="380"/>
    </row>
    <row r="64" spans="1:15" ht="25.5" customHeight="1">
      <c r="A64" s="342"/>
      <c r="B64" s="342"/>
      <c r="C64" s="1024" t="s">
        <v>1472</v>
      </c>
      <c r="D64" s="1024"/>
      <c r="E64" s="1024"/>
      <c r="F64" s="1024"/>
      <c r="G64" s="343" t="s">
        <v>89</v>
      </c>
      <c r="H64" s="585">
        <f>3.5*(3*2*30)</f>
        <v>630</v>
      </c>
      <c r="I64" s="586"/>
      <c r="J64" s="586"/>
      <c r="K64" s="587"/>
      <c r="L64" s="587"/>
      <c r="M64" s="587"/>
      <c r="N64" s="592"/>
      <c r="O64" s="592"/>
    </row>
    <row r="65" spans="1:15" ht="36.75" customHeight="1">
      <c r="A65" s="377">
        <f>ORÇAMENTO!A38</f>
        <v>100948</v>
      </c>
      <c r="B65" s="377" t="str">
        <f>ORÇAMENTO!C38</f>
        <v>2.03.11</v>
      </c>
      <c r="C65" s="1047" t="str">
        <f>ORÇAMENTO!D38</f>
        <v>TRANSPORTE COM CAMINHÃO CARROCERIA 9T, EM VIA URBANA PAVIMENTADA, ADICIONAL PARA DMT EXCEDENTE A 30 KM (UNIDADE: TXKM). AF_07/2020</v>
      </c>
      <c r="D65" s="1047"/>
      <c r="E65" s="1047"/>
      <c r="F65" s="1047"/>
      <c r="G65" s="377" t="str">
        <f>ORÇAMENTO!E38</f>
        <v>TXKM</v>
      </c>
      <c r="H65" s="383">
        <f>H66</f>
        <v>1470</v>
      </c>
      <c r="I65" s="379"/>
      <c r="J65" s="380"/>
      <c r="K65" s="379"/>
      <c r="L65" s="380"/>
      <c r="M65" s="379"/>
      <c r="N65" s="380"/>
      <c r="O65" s="380"/>
    </row>
    <row r="66" spans="1:15" ht="25.5" customHeight="1">
      <c r="A66" s="342"/>
      <c r="B66" s="342"/>
      <c r="C66" s="1024" t="s">
        <v>1473</v>
      </c>
      <c r="D66" s="1024"/>
      <c r="E66" s="1024"/>
      <c r="F66" s="1024"/>
      <c r="G66" s="343" t="s">
        <v>89</v>
      </c>
      <c r="H66" s="585">
        <f>3.5*(3*2*70)</f>
        <v>1470</v>
      </c>
      <c r="I66" s="586"/>
      <c r="J66" s="586"/>
      <c r="K66" s="587"/>
      <c r="L66" s="587"/>
      <c r="M66" s="587"/>
      <c r="N66" s="592"/>
      <c r="O66" s="592"/>
    </row>
    <row r="67" spans="1:15">
      <c r="A67" s="373" t="s">
        <v>11</v>
      </c>
      <c r="B67" s="374" t="s">
        <v>13</v>
      </c>
      <c r="C67" s="1007" t="s">
        <v>1443</v>
      </c>
      <c r="D67" s="1007"/>
      <c r="E67" s="1007"/>
      <c r="F67" s="1007"/>
      <c r="G67" s="374" t="s">
        <v>15</v>
      </c>
      <c r="H67" s="386" t="s">
        <v>1444</v>
      </c>
      <c r="I67" s="107" t="s">
        <v>1445</v>
      </c>
      <c r="J67" s="108" t="s">
        <v>1446</v>
      </c>
      <c r="K67" s="386" t="s">
        <v>1447</v>
      </c>
      <c r="L67" s="375" t="s">
        <v>1448</v>
      </c>
      <c r="M67" s="374" t="s">
        <v>1457</v>
      </c>
      <c r="N67" s="375" t="s">
        <v>1450</v>
      </c>
      <c r="O67" s="386" t="s">
        <v>1451</v>
      </c>
    </row>
    <row r="68" spans="1:15" ht="12.75" customHeight="1">
      <c r="A68" s="376"/>
      <c r="B68" s="376" t="str">
        <f>ORÇAMENTO!C39</f>
        <v>2.04</v>
      </c>
      <c r="C68" s="1066" t="str">
        <f>ORÇAMENTO!D39</f>
        <v>DEMOLIÇÃO E RETIRADA</v>
      </c>
      <c r="D68" s="1066"/>
      <c r="E68" s="1066"/>
      <c r="F68" s="1066"/>
      <c r="G68" s="1039"/>
      <c r="H68" s="1039"/>
      <c r="I68" s="1039"/>
      <c r="J68" s="1039"/>
      <c r="K68" s="1039"/>
      <c r="L68" s="1039"/>
      <c r="M68" s="1039"/>
      <c r="N68" s="1039"/>
      <c r="O68" s="1039"/>
    </row>
    <row r="69" spans="1:15" ht="27" customHeight="1">
      <c r="A69" s="377">
        <f>ORÇAMENTO!A40</f>
        <v>5029</v>
      </c>
      <c r="B69" s="377" t="str">
        <f>ORÇAMENTO!C40</f>
        <v>2.04.01</v>
      </c>
      <c r="C69" s="1047" t="str">
        <f>ORÇAMENTO!D40</f>
        <v>DESTOCAMENTO DE ÁRVORES DE PORTE MÉDIO E RAÍZES PROFUNDAS, SEM AUXÍLIO MECÂNICO</v>
      </c>
      <c r="D69" s="1047"/>
      <c r="E69" s="1047"/>
      <c r="F69" s="1047"/>
      <c r="G69" s="377" t="str">
        <f>ORÇAMENTO!E40</f>
        <v>UN</v>
      </c>
      <c r="H69" s="383">
        <f>SUM(H70:H71)</f>
        <v>12</v>
      </c>
      <c r="I69" s="379"/>
      <c r="J69" s="380"/>
      <c r="K69" s="379"/>
      <c r="L69" s="380"/>
      <c r="M69" s="379"/>
      <c r="N69" s="380"/>
      <c r="O69" s="380"/>
    </row>
    <row r="70" spans="1:15">
      <c r="A70" s="342"/>
      <c r="B70" s="342"/>
      <c r="C70" s="1024" t="s">
        <v>1474</v>
      </c>
      <c r="D70" s="1024"/>
      <c r="E70" s="1024"/>
      <c r="F70" s="1024"/>
      <c r="G70" s="343" t="s">
        <v>96</v>
      </c>
      <c r="H70" s="585">
        <v>7</v>
      </c>
      <c r="I70" s="586"/>
      <c r="J70" s="586"/>
      <c r="K70" s="587"/>
      <c r="L70" s="587"/>
      <c r="M70" s="587"/>
      <c r="N70" s="592"/>
      <c r="O70" s="592"/>
    </row>
    <row r="71" spans="1:15">
      <c r="A71" s="342"/>
      <c r="B71" s="342"/>
      <c r="C71" s="1024" t="s">
        <v>1475</v>
      </c>
      <c r="D71" s="1024"/>
      <c r="E71" s="1024"/>
      <c r="F71" s="1024"/>
      <c r="G71" s="343" t="s">
        <v>96</v>
      </c>
      <c r="H71" s="585">
        <v>5</v>
      </c>
      <c r="I71" s="586"/>
      <c r="J71" s="586"/>
      <c r="K71" s="587"/>
      <c r="L71" s="587"/>
      <c r="M71" s="587"/>
      <c r="N71" s="592"/>
      <c r="O71" s="592"/>
    </row>
    <row r="72" spans="1:15" ht="26.25" customHeight="1">
      <c r="A72" s="377">
        <f>ORÇAMENTO!A41</f>
        <v>98528</v>
      </c>
      <c r="B72" s="377" t="str">
        <f>ORÇAMENTO!C41</f>
        <v>2.04.02</v>
      </c>
      <c r="C72" s="1047" t="str">
        <f>ORÇAMENTO!D41</f>
        <v>REMOÇÃO DE RAÍZES REMANESCENTES DE TRONCO DE ÁRVORE COM DIÂMETRO MAIOR OU IGUAL A 0,60 M.AF_05/2018</v>
      </c>
      <c r="D72" s="1047"/>
      <c r="E72" s="1047"/>
      <c r="F72" s="1047"/>
      <c r="G72" s="377" t="str">
        <f>ORÇAMENTO!E41</f>
        <v>UN</v>
      </c>
      <c r="H72" s="383">
        <f>SUM(H73:H74)</f>
        <v>12</v>
      </c>
      <c r="I72" s="379"/>
      <c r="J72" s="380"/>
      <c r="K72" s="379"/>
      <c r="L72" s="380"/>
      <c r="M72" s="379"/>
      <c r="N72" s="380"/>
      <c r="O72" s="380"/>
    </row>
    <row r="73" spans="1:15" ht="13.15" customHeight="1">
      <c r="A73" s="342"/>
      <c r="B73" s="342"/>
      <c r="C73" s="1038" t="s">
        <v>1474</v>
      </c>
      <c r="D73" s="1038"/>
      <c r="E73" s="1038"/>
      <c r="F73" s="1038"/>
      <c r="G73" s="343" t="s">
        <v>96</v>
      </c>
      <c r="H73" s="585">
        <v>7</v>
      </c>
      <c r="I73" s="586"/>
      <c r="J73" s="586"/>
      <c r="K73" s="587"/>
      <c r="L73" s="587"/>
      <c r="M73" s="587"/>
      <c r="N73" s="592"/>
      <c r="O73" s="592"/>
    </row>
    <row r="74" spans="1:15" ht="13.15" customHeight="1">
      <c r="A74" s="342"/>
      <c r="B74" s="342"/>
      <c r="C74" s="1038" t="s">
        <v>1475</v>
      </c>
      <c r="D74" s="1038"/>
      <c r="E74" s="1038"/>
      <c r="F74" s="1038"/>
      <c r="G74" s="343" t="s">
        <v>96</v>
      </c>
      <c r="H74" s="585">
        <v>5</v>
      </c>
      <c r="I74" s="586"/>
      <c r="J74" s="586"/>
      <c r="K74" s="587"/>
      <c r="L74" s="587"/>
      <c r="M74" s="587"/>
      <c r="N74" s="592"/>
      <c r="O74" s="592"/>
    </row>
    <row r="75" spans="1:15" ht="13.15" customHeight="1">
      <c r="A75" s="377">
        <f>ORÇAMENTO!A42</f>
        <v>3240</v>
      </c>
      <c r="B75" s="377" t="str">
        <f>ORÇAMENTO!C42</f>
        <v>2.04.03</v>
      </c>
      <c r="C75" s="1047" t="str">
        <f>ORÇAMENTO!D42</f>
        <v>DEMOLIÇÃO DE PISO DE ALTA RESISTÊNCIA</v>
      </c>
      <c r="D75" s="1047"/>
      <c r="E75" s="1047"/>
      <c r="F75" s="1047"/>
      <c r="G75" s="377" t="str">
        <f>ORÇAMENTO!E42</f>
        <v>M²</v>
      </c>
      <c r="H75" s="383"/>
      <c r="I75" s="383"/>
      <c r="J75" s="383"/>
      <c r="K75" s="383"/>
      <c r="L75" s="383"/>
      <c r="M75" s="383"/>
      <c r="N75" s="380">
        <f t="shared" ref="N75" si="0">SUM(N76:N77)</f>
        <v>608.93000000000006</v>
      </c>
      <c r="O75" s="380"/>
    </row>
    <row r="76" spans="1:15" ht="13.15" customHeight="1">
      <c r="A76" s="342"/>
      <c r="B76" s="342"/>
      <c r="C76" s="1038" t="s">
        <v>1476</v>
      </c>
      <c r="D76" s="1038"/>
      <c r="E76" s="1038"/>
      <c r="F76" s="1038"/>
      <c r="G76" s="343" t="s">
        <v>109</v>
      </c>
      <c r="H76" s="585"/>
      <c r="I76" s="586"/>
      <c r="J76" s="586"/>
      <c r="K76" s="587"/>
      <c r="L76" s="587"/>
      <c r="M76" s="587"/>
      <c r="N76" s="592">
        <v>268.61</v>
      </c>
      <c r="O76" s="592"/>
    </row>
    <row r="77" spans="1:15" ht="13.15" customHeight="1">
      <c r="A77" s="342"/>
      <c r="B77" s="342"/>
      <c r="C77" s="1038" t="s">
        <v>1477</v>
      </c>
      <c r="D77" s="1038"/>
      <c r="E77" s="1038"/>
      <c r="F77" s="1038"/>
      <c r="G77" s="343" t="s">
        <v>109</v>
      </c>
      <c r="H77" s="585"/>
      <c r="I77" s="586"/>
      <c r="J77" s="586"/>
      <c r="K77" s="587"/>
      <c r="L77" s="587"/>
      <c r="M77" s="587"/>
      <c r="N77" s="592">
        <v>340.32</v>
      </c>
      <c r="O77" s="592"/>
    </row>
    <row r="78" spans="1:15" ht="24.75" customHeight="1">
      <c r="A78" s="377">
        <f>ORÇAMENTO!A43</f>
        <v>7989</v>
      </c>
      <c r="B78" s="377" t="str">
        <f>ORÇAMENTO!C43</f>
        <v>2.04.04</v>
      </c>
      <c r="C78" s="1047" t="str">
        <f>ORÇAMENTO!D43</f>
        <v>DEMOLIÇÃO DE PAVIMENTAÇÃO EM PARALELEPÍPEDO SEM REAPROVEITAMENTO</v>
      </c>
      <c r="D78" s="1047"/>
      <c r="E78" s="1047"/>
      <c r="F78" s="1047"/>
      <c r="G78" s="377" t="str">
        <f>ORÇAMENTO!E45</f>
        <v>M²</v>
      </c>
      <c r="H78" s="383"/>
      <c r="I78" s="383"/>
      <c r="J78" s="383"/>
      <c r="K78" s="383"/>
      <c r="L78" s="383"/>
      <c r="M78" s="383"/>
      <c r="N78" s="380">
        <f>SUM(N79)</f>
        <v>750.83</v>
      </c>
      <c r="O78" s="380"/>
    </row>
    <row r="79" spans="1:15" ht="13.15" customHeight="1">
      <c r="A79" s="342"/>
      <c r="B79" s="342"/>
      <c r="C79" s="1038" t="s">
        <v>1478</v>
      </c>
      <c r="D79" s="1038"/>
      <c r="E79" s="1038"/>
      <c r="F79" s="1038"/>
      <c r="G79" s="343" t="s">
        <v>109</v>
      </c>
      <c r="H79" s="585"/>
      <c r="I79" s="586"/>
      <c r="J79" s="586"/>
      <c r="K79" s="587"/>
      <c r="L79" s="587"/>
      <c r="M79" s="587"/>
      <c r="N79" s="592">
        <v>750.83</v>
      </c>
      <c r="O79" s="592"/>
    </row>
    <row r="80" spans="1:15" ht="38.25" customHeight="1">
      <c r="A80" s="377">
        <f>ORÇAMENTO!A44</f>
        <v>97649</v>
      </c>
      <c r="B80" s="377" t="str">
        <f>ORÇAMENTO!C44</f>
        <v>2.04.05</v>
      </c>
      <c r="C80" s="1047" t="str">
        <f>ORÇAMENTO!D44</f>
        <v>REMOÇÃO DE TELHAS DE FIBROCIMENTO, METÁLICA E CERÂMICA, DE FORMA MECANIZADA, COM USO DE GUINDASTE, SEM REAPROVEITAMENTO. AF_12/2017</v>
      </c>
      <c r="D80" s="1047"/>
      <c r="E80" s="1047"/>
      <c r="F80" s="1047"/>
      <c r="G80" s="377" t="str">
        <f>ORÇAMENTO!E44</f>
        <v>M²</v>
      </c>
      <c r="H80" s="383"/>
      <c r="I80" s="379"/>
      <c r="J80" s="380"/>
      <c r="K80" s="379"/>
      <c r="L80" s="380"/>
      <c r="M80" s="379"/>
      <c r="N80" s="380">
        <f>SUM(N81:N90)</f>
        <v>778.53610000000003</v>
      </c>
      <c r="O80" s="380"/>
    </row>
    <row r="81" spans="1:15" ht="12.75" customHeight="1">
      <c r="A81" s="342"/>
      <c r="B81" s="342"/>
      <c r="C81" s="1079" t="s">
        <v>1479</v>
      </c>
      <c r="D81" s="1079"/>
      <c r="E81" s="1079"/>
      <c r="F81" s="1079"/>
      <c r="G81" s="343" t="s">
        <v>61</v>
      </c>
      <c r="H81" s="586"/>
      <c r="I81" s="586"/>
      <c r="J81" s="586"/>
      <c r="K81" s="587"/>
      <c r="L81" s="587"/>
      <c r="M81" s="587"/>
      <c r="N81" s="592"/>
      <c r="O81" s="592"/>
    </row>
    <row r="82" spans="1:15" ht="12.75" customHeight="1">
      <c r="A82" s="342"/>
      <c r="B82" s="342"/>
      <c r="C82" s="1038" t="s">
        <v>1480</v>
      </c>
      <c r="D82" s="1038"/>
      <c r="E82" s="1038"/>
      <c r="F82" s="1038"/>
      <c r="G82" s="343" t="s">
        <v>61</v>
      </c>
      <c r="H82" s="586"/>
      <c r="I82" s="586"/>
      <c r="J82" s="586"/>
      <c r="K82" s="587"/>
      <c r="L82" s="587"/>
      <c r="M82" s="587"/>
      <c r="N82" s="586">
        <f>153.41</f>
        <v>153.41</v>
      </c>
      <c r="O82" s="592"/>
    </row>
    <row r="83" spans="1:15" ht="12.75" customHeight="1">
      <c r="A83" s="342"/>
      <c r="B83" s="342"/>
      <c r="C83" s="1038" t="s">
        <v>1481</v>
      </c>
      <c r="D83" s="1038"/>
      <c r="E83" s="1038"/>
      <c r="F83" s="1038"/>
      <c r="G83" s="343" t="s">
        <v>61</v>
      </c>
      <c r="H83" s="586"/>
      <c r="I83" s="586"/>
      <c r="J83" s="586"/>
      <c r="K83" s="587"/>
      <c r="L83" s="587"/>
      <c r="M83" s="587"/>
      <c r="N83" s="586">
        <f>(41.27)+(17.58*4.63)</f>
        <v>122.66540000000001</v>
      </c>
      <c r="O83" s="592"/>
    </row>
    <row r="84" spans="1:15" ht="12.75" customHeight="1">
      <c r="A84" s="342"/>
      <c r="B84" s="342"/>
      <c r="C84" s="1038" t="s">
        <v>1482</v>
      </c>
      <c r="D84" s="1038"/>
      <c r="E84" s="1038"/>
      <c r="F84" s="1038"/>
      <c r="G84" s="343" t="s">
        <v>61</v>
      </c>
      <c r="H84" s="586"/>
      <c r="I84" s="586"/>
      <c r="J84" s="586"/>
      <c r="K84" s="587"/>
      <c r="L84" s="587"/>
      <c r="M84" s="587"/>
      <c r="N84" s="586">
        <f>39.9</f>
        <v>39.9</v>
      </c>
      <c r="O84" s="592"/>
    </row>
    <row r="85" spans="1:15" ht="12.75" customHeight="1">
      <c r="A85" s="342"/>
      <c r="B85" s="342"/>
      <c r="C85" s="1038" t="s">
        <v>1483</v>
      </c>
      <c r="D85" s="1038"/>
      <c r="E85" s="1038"/>
      <c r="F85" s="1038"/>
      <c r="G85" s="343" t="s">
        <v>61</v>
      </c>
      <c r="H85" s="586"/>
      <c r="I85" s="586"/>
      <c r="J85" s="586"/>
      <c r="K85" s="587"/>
      <c r="L85" s="587"/>
      <c r="M85" s="587"/>
      <c r="N85" s="586">
        <f>15.39*4.83</f>
        <v>74.333700000000007</v>
      </c>
      <c r="O85" s="592"/>
    </row>
    <row r="86" spans="1:15" ht="12.75" customHeight="1">
      <c r="A86" s="342"/>
      <c r="B86" s="342"/>
      <c r="C86" s="1038" t="s">
        <v>1484</v>
      </c>
      <c r="D86" s="1038"/>
      <c r="E86" s="1038"/>
      <c r="F86" s="1038"/>
      <c r="G86" s="343" t="s">
        <v>61</v>
      </c>
      <c r="H86" s="586"/>
      <c r="I86" s="586"/>
      <c r="J86" s="586"/>
      <c r="K86" s="587"/>
      <c r="L86" s="587"/>
      <c r="M86" s="587"/>
      <c r="N86" s="592">
        <f>8.68*5.05</f>
        <v>43.833999999999996</v>
      </c>
      <c r="O86" s="592"/>
    </row>
    <row r="87" spans="1:15" ht="12.75" customHeight="1">
      <c r="A87" s="342"/>
      <c r="B87" s="342"/>
      <c r="C87" s="1038" t="s">
        <v>1485</v>
      </c>
      <c r="D87" s="1038"/>
      <c r="E87" s="1038"/>
      <c r="F87" s="1038"/>
      <c r="G87" s="343" t="s">
        <v>61</v>
      </c>
      <c r="H87" s="586"/>
      <c r="I87" s="586"/>
      <c r="J87" s="586"/>
      <c r="K87" s="587"/>
      <c r="L87" s="587"/>
      <c r="M87" s="587"/>
      <c r="N87" s="592">
        <f>6.94*6.45</f>
        <v>44.763000000000005</v>
      </c>
      <c r="O87" s="592"/>
    </row>
    <row r="88" spans="1:15" ht="12.75" customHeight="1">
      <c r="A88" s="342"/>
      <c r="B88" s="342"/>
      <c r="C88" s="1079" t="s">
        <v>1486</v>
      </c>
      <c r="D88" s="1079"/>
      <c r="E88" s="1079"/>
      <c r="F88" s="1079"/>
      <c r="G88" s="343"/>
      <c r="H88" s="586"/>
      <c r="I88" s="586"/>
      <c r="J88" s="586"/>
      <c r="K88" s="587"/>
      <c r="L88" s="587"/>
      <c r="M88" s="587"/>
      <c r="N88" s="592"/>
      <c r="O88" s="592"/>
    </row>
    <row r="89" spans="1:15" ht="12.75" customHeight="1">
      <c r="A89" s="342"/>
      <c r="B89" s="342"/>
      <c r="C89" s="1038" t="s">
        <v>1487</v>
      </c>
      <c r="D89" s="1038"/>
      <c r="E89" s="1038"/>
      <c r="F89" s="1038"/>
      <c r="G89" s="343" t="s">
        <v>61</v>
      </c>
      <c r="H89" s="586"/>
      <c r="I89" s="586"/>
      <c r="J89" s="586"/>
      <c r="K89" s="587"/>
      <c r="L89" s="587"/>
      <c r="M89" s="587"/>
      <c r="N89" s="586">
        <v>276.12</v>
      </c>
      <c r="O89" s="592"/>
    </row>
    <row r="90" spans="1:15" ht="12.75" customHeight="1">
      <c r="A90" s="342"/>
      <c r="B90" s="342"/>
      <c r="C90" s="1038" t="s">
        <v>1488</v>
      </c>
      <c r="D90" s="1038"/>
      <c r="E90" s="1038"/>
      <c r="F90" s="1038"/>
      <c r="G90" s="343" t="s">
        <v>61</v>
      </c>
      <c r="H90" s="586"/>
      <c r="I90" s="586"/>
      <c r="J90" s="586"/>
      <c r="K90" s="587"/>
      <c r="L90" s="587"/>
      <c r="M90" s="587"/>
      <c r="N90" s="586">
        <v>23.51</v>
      </c>
      <c r="O90" s="592"/>
    </row>
    <row r="91" spans="1:15" ht="27" customHeight="1">
      <c r="A91" s="377">
        <f>ORÇAMENTO!A45</f>
        <v>4977</v>
      </c>
      <c r="B91" s="377" t="str">
        <f>ORÇAMENTO!C45</f>
        <v>2.04.06</v>
      </c>
      <c r="C91" s="1047" t="str">
        <f>ORÇAMENTO!D45</f>
        <v>DEMOLIÇÃO DE MADEIRAMENTO EM COBERTURAS COM TELHAS DE FIBRO-CIMENTO 4 A 8 MM</v>
      </c>
      <c r="D91" s="1047"/>
      <c r="E91" s="1047"/>
      <c r="F91" s="1047"/>
      <c r="G91" s="377" t="str">
        <f>ORÇAMENTO!E45</f>
        <v>M²</v>
      </c>
      <c r="H91" s="383"/>
      <c r="I91" s="379"/>
      <c r="J91" s="380"/>
      <c r="K91" s="379"/>
      <c r="L91" s="380"/>
      <c r="M91" s="379"/>
      <c r="N91" s="380">
        <f>SUM(N92:N101)</f>
        <v>778.53610000000003</v>
      </c>
      <c r="O91" s="380"/>
    </row>
    <row r="92" spans="1:15" ht="12.75" customHeight="1">
      <c r="A92" s="342"/>
      <c r="B92" s="342"/>
      <c r="C92" s="1079" t="s">
        <v>1479</v>
      </c>
      <c r="D92" s="1079"/>
      <c r="E92" s="1079"/>
      <c r="F92" s="1079"/>
      <c r="G92" s="343" t="s">
        <v>61</v>
      </c>
      <c r="H92" s="586"/>
      <c r="I92" s="586"/>
      <c r="J92" s="586"/>
      <c r="K92" s="587"/>
      <c r="L92" s="587"/>
      <c r="M92" s="587"/>
      <c r="N92" s="592"/>
      <c r="O92" s="592"/>
    </row>
    <row r="93" spans="1:15" ht="12.75" customHeight="1">
      <c r="A93" s="342"/>
      <c r="B93" s="342"/>
      <c r="C93" s="1038" t="s">
        <v>1480</v>
      </c>
      <c r="D93" s="1038"/>
      <c r="E93" s="1038"/>
      <c r="F93" s="1038"/>
      <c r="G93" s="343" t="s">
        <v>61</v>
      </c>
      <c r="H93" s="586"/>
      <c r="I93" s="586"/>
      <c r="J93" s="586"/>
      <c r="K93" s="587"/>
      <c r="L93" s="587"/>
      <c r="M93" s="587"/>
      <c r="N93" s="586">
        <f>153.41</f>
        <v>153.41</v>
      </c>
      <c r="O93" s="592"/>
    </row>
    <row r="94" spans="1:15" ht="12.75" customHeight="1">
      <c r="A94" s="342"/>
      <c r="B94" s="342"/>
      <c r="C94" s="1038" t="s">
        <v>1481</v>
      </c>
      <c r="D94" s="1038"/>
      <c r="E94" s="1038"/>
      <c r="F94" s="1038"/>
      <c r="G94" s="343" t="s">
        <v>61</v>
      </c>
      <c r="H94" s="586"/>
      <c r="I94" s="586"/>
      <c r="J94" s="586"/>
      <c r="K94" s="587"/>
      <c r="L94" s="587"/>
      <c r="M94" s="587"/>
      <c r="N94" s="586">
        <f>(41.27)+(17.58*4.63)</f>
        <v>122.66540000000001</v>
      </c>
      <c r="O94" s="592"/>
    </row>
    <row r="95" spans="1:15" ht="12.75" customHeight="1">
      <c r="A95" s="342"/>
      <c r="B95" s="342"/>
      <c r="C95" s="1038" t="s">
        <v>1483</v>
      </c>
      <c r="D95" s="1038"/>
      <c r="E95" s="1038"/>
      <c r="F95" s="1038"/>
      <c r="G95" s="343" t="s">
        <v>61</v>
      </c>
      <c r="H95" s="586"/>
      <c r="I95" s="586"/>
      <c r="J95" s="586"/>
      <c r="K95" s="587"/>
      <c r="L95" s="587"/>
      <c r="M95" s="587"/>
      <c r="N95" s="586">
        <f>15.39*4.83</f>
        <v>74.333700000000007</v>
      </c>
      <c r="O95" s="592"/>
    </row>
    <row r="96" spans="1:15" ht="12.75" customHeight="1">
      <c r="A96" s="342"/>
      <c r="B96" s="342"/>
      <c r="C96" s="1038" t="s">
        <v>1484</v>
      </c>
      <c r="D96" s="1038"/>
      <c r="E96" s="1038"/>
      <c r="F96" s="1038"/>
      <c r="G96" s="343" t="s">
        <v>61</v>
      </c>
      <c r="H96" s="586"/>
      <c r="I96" s="586"/>
      <c r="J96" s="586"/>
      <c r="K96" s="587"/>
      <c r="L96" s="587"/>
      <c r="M96" s="587"/>
      <c r="N96" s="592">
        <f>8.68*5.05</f>
        <v>43.833999999999996</v>
      </c>
      <c r="O96" s="592"/>
    </row>
    <row r="97" spans="1:15" ht="12.75" customHeight="1">
      <c r="A97" s="342"/>
      <c r="B97" s="342"/>
      <c r="C97" s="1038" t="s">
        <v>1485</v>
      </c>
      <c r="D97" s="1038"/>
      <c r="E97" s="1038"/>
      <c r="F97" s="1038"/>
      <c r="G97" s="343" t="s">
        <v>61</v>
      </c>
      <c r="H97" s="586"/>
      <c r="I97" s="586"/>
      <c r="J97" s="586"/>
      <c r="K97" s="587"/>
      <c r="L97" s="587"/>
      <c r="M97" s="587"/>
      <c r="N97" s="592">
        <f>6.94*6.45</f>
        <v>44.763000000000005</v>
      </c>
      <c r="O97" s="592"/>
    </row>
    <row r="98" spans="1:15" ht="12.75" customHeight="1">
      <c r="A98" s="342"/>
      <c r="B98" s="342"/>
      <c r="C98" s="1038" t="s">
        <v>1482</v>
      </c>
      <c r="D98" s="1038"/>
      <c r="E98" s="1038"/>
      <c r="F98" s="1038"/>
      <c r="G98" s="343" t="s">
        <v>61</v>
      </c>
      <c r="H98" s="586"/>
      <c r="I98" s="586"/>
      <c r="J98" s="586"/>
      <c r="K98" s="587"/>
      <c r="L98" s="587"/>
      <c r="M98" s="587"/>
      <c r="N98" s="586">
        <f>39.9</f>
        <v>39.9</v>
      </c>
      <c r="O98" s="592"/>
    </row>
    <row r="99" spans="1:15" ht="12.75" customHeight="1">
      <c r="A99" s="342"/>
      <c r="B99" s="342"/>
      <c r="C99" s="1079" t="s">
        <v>1486</v>
      </c>
      <c r="D99" s="1079"/>
      <c r="E99" s="1079"/>
      <c r="F99" s="1079"/>
      <c r="G99" s="343"/>
      <c r="H99" s="586"/>
      <c r="I99" s="586"/>
      <c r="J99" s="586"/>
      <c r="K99" s="587"/>
      <c r="L99" s="587"/>
      <c r="M99" s="587"/>
      <c r="N99" s="592"/>
      <c r="O99" s="592"/>
    </row>
    <row r="100" spans="1:15" ht="12.75" customHeight="1">
      <c r="A100" s="342"/>
      <c r="B100" s="342"/>
      <c r="C100" s="1038" t="s">
        <v>1487</v>
      </c>
      <c r="D100" s="1038"/>
      <c r="E100" s="1038"/>
      <c r="F100" s="1038"/>
      <c r="G100" s="343" t="s">
        <v>61</v>
      </c>
      <c r="H100" s="586"/>
      <c r="I100" s="586"/>
      <c r="J100" s="586"/>
      <c r="K100" s="587"/>
      <c r="L100" s="587"/>
      <c r="M100" s="587"/>
      <c r="N100" s="586">
        <v>276.12</v>
      </c>
      <c r="O100" s="592"/>
    </row>
    <row r="101" spans="1:15" ht="12.75" customHeight="1">
      <c r="A101" s="342"/>
      <c r="B101" s="342"/>
      <c r="C101" s="1038" t="s">
        <v>1488</v>
      </c>
      <c r="D101" s="1038"/>
      <c r="E101" s="1038"/>
      <c r="F101" s="1038"/>
      <c r="G101" s="343" t="s">
        <v>61</v>
      </c>
      <c r="H101" s="586"/>
      <c r="I101" s="586"/>
      <c r="J101" s="586"/>
      <c r="K101" s="587"/>
      <c r="L101" s="587"/>
      <c r="M101" s="587"/>
      <c r="N101" s="586">
        <v>23.51</v>
      </c>
      <c r="O101" s="592"/>
    </row>
    <row r="102" spans="1:15" ht="27" customHeight="1">
      <c r="A102" s="377">
        <f>ORÇAMENTO!A46</f>
        <v>97629</v>
      </c>
      <c r="B102" s="377" t="str">
        <f>ORÇAMENTO!C46</f>
        <v>2.04.07</v>
      </c>
      <c r="C102" s="1047" t="str">
        <f>ORÇAMENTO!D46</f>
        <v>DEMOLIÇÃO DE LAJES, DE FORMA MECANIZADA COM MARTELETE, SEM REAPROVEITAMENTO. AF_12/2017</v>
      </c>
      <c r="D102" s="1047"/>
      <c r="E102" s="1047"/>
      <c r="F102" s="1047"/>
      <c r="G102" s="377" t="str">
        <f>ORÇAMENTO!E46</f>
        <v>M³</v>
      </c>
      <c r="H102" s="383"/>
      <c r="I102" s="379"/>
      <c r="J102" s="380"/>
      <c r="K102" s="379"/>
      <c r="L102" s="380"/>
      <c r="M102" s="379"/>
      <c r="N102" s="380"/>
      <c r="O102" s="380">
        <f>SUM(O103:O112)</f>
        <v>258.84976000000006</v>
      </c>
    </row>
    <row r="103" spans="1:15" ht="12.75" customHeight="1">
      <c r="A103" s="342"/>
      <c r="B103" s="342"/>
      <c r="C103" s="1079" t="s">
        <v>1479</v>
      </c>
      <c r="D103" s="1079"/>
      <c r="E103" s="1079"/>
      <c r="F103" s="1079"/>
      <c r="G103" s="343" t="s">
        <v>109</v>
      </c>
      <c r="H103" s="586"/>
      <c r="I103" s="586"/>
      <c r="J103" s="586"/>
      <c r="K103" s="587"/>
      <c r="L103" s="587"/>
      <c r="M103" s="587"/>
      <c r="N103" s="592"/>
      <c r="O103" s="592"/>
    </row>
    <row r="104" spans="1:15" ht="12.75" customHeight="1">
      <c r="A104" s="342"/>
      <c r="B104" s="342"/>
      <c r="C104" s="1038" t="s">
        <v>1489</v>
      </c>
      <c r="D104" s="1038"/>
      <c r="E104" s="1038"/>
      <c r="F104" s="1038"/>
      <c r="G104" s="343" t="s">
        <v>109</v>
      </c>
      <c r="H104" s="586"/>
      <c r="I104" s="586"/>
      <c r="J104" s="586"/>
      <c r="K104" s="587"/>
      <c r="L104" s="587"/>
      <c r="M104" s="587"/>
      <c r="N104" s="586"/>
      <c r="O104" s="586">
        <f>153.41*0.2</f>
        <v>30.682000000000002</v>
      </c>
    </row>
    <row r="105" spans="1:15" ht="12.75" customHeight="1">
      <c r="A105" s="342"/>
      <c r="B105" s="342"/>
      <c r="C105" s="1038" t="s">
        <v>1481</v>
      </c>
      <c r="D105" s="1038"/>
      <c r="E105" s="1038"/>
      <c r="F105" s="1038"/>
      <c r="G105" s="343" t="s">
        <v>109</v>
      </c>
      <c r="H105" s="586"/>
      <c r="I105" s="586"/>
      <c r="J105" s="586"/>
      <c r="K105" s="587"/>
      <c r="L105" s="587"/>
      <c r="M105" s="587"/>
      <c r="N105" s="586"/>
      <c r="O105" s="586">
        <f>67.05*0.2</f>
        <v>13.41</v>
      </c>
    </row>
    <row r="106" spans="1:15" ht="12.75" customHeight="1">
      <c r="A106" s="342"/>
      <c r="B106" s="342"/>
      <c r="C106" s="1038" t="s">
        <v>1490</v>
      </c>
      <c r="D106" s="1038"/>
      <c r="E106" s="1038"/>
      <c r="F106" s="1038"/>
      <c r="G106" s="343" t="s">
        <v>109</v>
      </c>
      <c r="H106" s="586"/>
      <c r="I106" s="586"/>
      <c r="J106" s="586"/>
      <c r="K106" s="587"/>
      <c r="L106" s="587"/>
      <c r="M106" s="587"/>
      <c r="N106" s="592"/>
      <c r="O106" s="586">
        <f>15.39*4.83*0.2*2</f>
        <v>29.733480000000004</v>
      </c>
    </row>
    <row r="107" spans="1:15" ht="12.75" customHeight="1">
      <c r="A107" s="342"/>
      <c r="B107" s="342"/>
      <c r="C107" s="1038" t="s">
        <v>1491</v>
      </c>
      <c r="D107" s="1038"/>
      <c r="E107" s="1038"/>
      <c r="F107" s="1038"/>
      <c r="G107" s="343" t="s">
        <v>109</v>
      </c>
      <c r="H107" s="586"/>
      <c r="I107" s="586"/>
      <c r="J107" s="586"/>
      <c r="K107" s="587"/>
      <c r="L107" s="587"/>
      <c r="M107" s="587"/>
      <c r="N107" s="586"/>
      <c r="O107" s="586">
        <f>276.12*0.2*2</f>
        <v>110.44800000000001</v>
      </c>
    </row>
    <row r="108" spans="1:15" ht="12.75" customHeight="1">
      <c r="A108" s="342"/>
      <c r="B108" s="342"/>
      <c r="C108" s="1038" t="s">
        <v>1492</v>
      </c>
      <c r="D108" s="1038"/>
      <c r="E108" s="1038"/>
      <c r="F108" s="1038"/>
      <c r="G108" s="343" t="s">
        <v>109</v>
      </c>
      <c r="H108" s="586"/>
      <c r="I108" s="586"/>
      <c r="J108" s="586"/>
      <c r="K108" s="587"/>
      <c r="L108" s="587"/>
      <c r="M108" s="587"/>
      <c r="N108" s="586"/>
      <c r="O108" s="586">
        <f>(15.39*4.83)*0.2*2</f>
        <v>29.733480000000004</v>
      </c>
    </row>
    <row r="109" spans="1:15" ht="12.75" customHeight="1">
      <c r="A109" s="342"/>
      <c r="B109" s="342"/>
      <c r="C109" s="1038" t="s">
        <v>1493</v>
      </c>
      <c r="D109" s="1038"/>
      <c r="E109" s="1038"/>
      <c r="F109" s="1038"/>
      <c r="G109" s="343" t="s">
        <v>109</v>
      </c>
      <c r="H109" s="586"/>
      <c r="I109" s="586"/>
      <c r="J109" s="586"/>
      <c r="K109" s="587"/>
      <c r="L109" s="587"/>
      <c r="M109" s="587"/>
      <c r="N109" s="586"/>
      <c r="O109" s="592">
        <f>(8.68*5.05)*0.2*2</f>
        <v>17.5336</v>
      </c>
    </row>
    <row r="110" spans="1:15" ht="12.75" customHeight="1">
      <c r="A110" s="342"/>
      <c r="B110" s="342"/>
      <c r="C110" s="1079" t="s">
        <v>1486</v>
      </c>
      <c r="D110" s="1079"/>
      <c r="E110" s="1079"/>
      <c r="F110" s="1079"/>
      <c r="G110" s="343"/>
      <c r="H110" s="586"/>
      <c r="I110" s="586"/>
      <c r="J110" s="586"/>
      <c r="K110" s="587"/>
      <c r="L110" s="587"/>
      <c r="M110" s="587"/>
      <c r="N110" s="592"/>
      <c r="O110" s="592"/>
    </row>
    <row r="111" spans="1:15" ht="12.75" customHeight="1">
      <c r="A111" s="342"/>
      <c r="B111" s="342"/>
      <c r="C111" s="1038" t="s">
        <v>1494</v>
      </c>
      <c r="D111" s="1038"/>
      <c r="E111" s="1038"/>
      <c r="F111" s="1038"/>
      <c r="G111" s="343" t="s">
        <v>109</v>
      </c>
      <c r="H111" s="586"/>
      <c r="I111" s="586"/>
      <c r="J111" s="586"/>
      <c r="K111" s="587"/>
      <c r="L111" s="587"/>
      <c r="M111" s="587"/>
      <c r="N111" s="592"/>
      <c r="O111" s="592">
        <f>(6.94*6.45)*0.2*2</f>
        <v>17.905200000000004</v>
      </c>
    </row>
    <row r="112" spans="1:15" ht="12.75" customHeight="1">
      <c r="A112" s="342"/>
      <c r="B112" s="342"/>
      <c r="C112" s="1038" t="s">
        <v>1488</v>
      </c>
      <c r="D112" s="1038"/>
      <c r="E112" s="1038"/>
      <c r="F112" s="1038"/>
      <c r="G112" s="343" t="s">
        <v>109</v>
      </c>
      <c r="H112" s="586"/>
      <c r="I112" s="586"/>
      <c r="J112" s="586"/>
      <c r="K112" s="587"/>
      <c r="L112" s="587"/>
      <c r="M112" s="587"/>
      <c r="N112" s="586"/>
      <c r="O112" s="586">
        <f>23.51*0.2*2</f>
        <v>9.4040000000000017</v>
      </c>
    </row>
    <row r="113" spans="1:15" ht="27" customHeight="1">
      <c r="A113" s="377">
        <f>ORÇAMENTO!A47</f>
        <v>97627</v>
      </c>
      <c r="B113" s="377" t="str">
        <f>ORÇAMENTO!C47</f>
        <v>2.04.08</v>
      </c>
      <c r="C113" s="1047" t="str">
        <f>ORÇAMENTO!D47</f>
        <v>DEMOLIÇÃO DE PILARES E VIGAS EM CONCRETO ARMADO, DE FORMA MECANIZADA COM MARTELETE, SEM REAPROVEITAMENTO. AF_12/2017</v>
      </c>
      <c r="D113" s="1047"/>
      <c r="E113" s="1047"/>
      <c r="F113" s="1047"/>
      <c r="G113" s="377" t="str">
        <f>ORÇAMENTO!E47</f>
        <v>M³</v>
      </c>
      <c r="H113" s="383"/>
      <c r="I113" s="379"/>
      <c r="J113" s="380"/>
      <c r="K113" s="379"/>
      <c r="L113" s="380"/>
      <c r="M113" s="379"/>
      <c r="N113" s="380"/>
      <c r="O113" s="380">
        <f>SUM(O114:O130)</f>
        <v>21.024389999999997</v>
      </c>
    </row>
    <row r="114" spans="1:15" ht="12.75" customHeight="1">
      <c r="A114" s="342"/>
      <c r="B114" s="342"/>
      <c r="C114" s="1079" t="s">
        <v>1479</v>
      </c>
      <c r="D114" s="1079"/>
      <c r="E114" s="1079"/>
      <c r="F114" s="1079"/>
      <c r="G114" s="343"/>
      <c r="H114" s="586"/>
      <c r="I114" s="586"/>
      <c r="J114" s="586"/>
      <c r="K114" s="587"/>
      <c r="L114" s="587"/>
      <c r="M114" s="587"/>
      <c r="N114" s="592"/>
      <c r="O114" s="592"/>
    </row>
    <row r="115" spans="1:15" ht="12.75" customHeight="1">
      <c r="A115" s="342"/>
      <c r="B115" s="342"/>
      <c r="C115" s="1038" t="s">
        <v>1495</v>
      </c>
      <c r="D115" s="1038"/>
      <c r="E115" s="1038"/>
      <c r="F115" s="1038"/>
      <c r="G115" s="343" t="s">
        <v>109</v>
      </c>
      <c r="H115" s="586">
        <v>12</v>
      </c>
      <c r="I115" s="586"/>
      <c r="J115" s="586"/>
      <c r="K115" s="587">
        <v>6</v>
      </c>
      <c r="L115" s="587"/>
      <c r="M115" s="587"/>
      <c r="N115" s="592">
        <f>0.15*0.2</f>
        <v>0.03</v>
      </c>
      <c r="O115" s="592">
        <f>N115*K115*H115</f>
        <v>2.16</v>
      </c>
    </row>
    <row r="116" spans="1:15" ht="12.75" customHeight="1">
      <c r="A116" s="342"/>
      <c r="B116" s="342"/>
      <c r="C116" s="1038" t="s">
        <v>1496</v>
      </c>
      <c r="D116" s="1038"/>
      <c r="E116" s="1038"/>
      <c r="F116" s="1038"/>
      <c r="G116" s="343" t="s">
        <v>109</v>
      </c>
      <c r="H116" s="586">
        <f>8+9</f>
        <v>17</v>
      </c>
      <c r="I116" s="586"/>
      <c r="J116" s="586">
        <v>3</v>
      </c>
      <c r="K116" s="587"/>
      <c r="L116" s="587"/>
      <c r="M116" s="587"/>
      <c r="N116" s="592">
        <f t="shared" ref="N116:N125" si="1">0.15*0.2</f>
        <v>0.03</v>
      </c>
      <c r="O116" s="592">
        <f>H116*J116*N116</f>
        <v>1.53</v>
      </c>
    </row>
    <row r="117" spans="1:15" ht="12.75" customHeight="1">
      <c r="A117" s="342"/>
      <c r="B117" s="342"/>
      <c r="C117" s="1038" t="s">
        <v>1497</v>
      </c>
      <c r="D117" s="1038"/>
      <c r="E117" s="1038"/>
      <c r="F117" s="1038"/>
      <c r="G117" s="343" t="s">
        <v>109</v>
      </c>
      <c r="H117" s="586">
        <v>3</v>
      </c>
      <c r="I117" s="586"/>
      <c r="J117" s="586"/>
      <c r="K117" s="587">
        <v>3</v>
      </c>
      <c r="L117" s="587"/>
      <c r="M117" s="587"/>
      <c r="N117" s="592">
        <f t="shared" si="1"/>
        <v>0.03</v>
      </c>
      <c r="O117" s="592">
        <f>N117*K117*H117</f>
        <v>0.27</v>
      </c>
    </row>
    <row r="118" spans="1:15" ht="12.75" customHeight="1">
      <c r="A118" s="342"/>
      <c r="B118" s="342"/>
      <c r="C118" s="1038" t="s">
        <v>1498</v>
      </c>
      <c r="D118" s="1038"/>
      <c r="E118" s="1038"/>
      <c r="F118" s="1038"/>
      <c r="G118" s="343" t="s">
        <v>109</v>
      </c>
      <c r="H118" s="586">
        <v>6</v>
      </c>
      <c r="I118" s="586"/>
      <c r="J118" s="586"/>
      <c r="K118" s="587">
        <v>3</v>
      </c>
      <c r="L118" s="587"/>
      <c r="M118" s="587"/>
      <c r="N118" s="592">
        <f t="shared" si="1"/>
        <v>0.03</v>
      </c>
      <c r="O118" s="592">
        <f>N118*K118*H118</f>
        <v>0.54</v>
      </c>
    </row>
    <row r="119" spans="1:15" ht="12.75" customHeight="1">
      <c r="A119" s="342"/>
      <c r="B119" s="342"/>
      <c r="C119" s="1038" t="s">
        <v>1499</v>
      </c>
      <c r="D119" s="1038"/>
      <c r="E119" s="1038"/>
      <c r="F119" s="1038"/>
      <c r="G119" s="343" t="s">
        <v>109</v>
      </c>
      <c r="H119" s="586"/>
      <c r="I119" s="586"/>
      <c r="J119" s="586"/>
      <c r="K119" s="587"/>
      <c r="L119" s="587">
        <v>22.62</v>
      </c>
      <c r="M119" s="587"/>
      <c r="N119" s="592">
        <f t="shared" si="1"/>
        <v>0.03</v>
      </c>
      <c r="O119" s="592">
        <f>L119*N119</f>
        <v>0.67859999999999998</v>
      </c>
    </row>
    <row r="120" spans="1:15" ht="12.75" customHeight="1">
      <c r="A120" s="342"/>
      <c r="B120" s="342"/>
      <c r="C120" s="1038" t="s">
        <v>1500</v>
      </c>
      <c r="D120" s="1038"/>
      <c r="E120" s="1038"/>
      <c r="F120" s="1038"/>
      <c r="G120" s="343" t="s">
        <v>109</v>
      </c>
      <c r="H120" s="586">
        <v>10</v>
      </c>
      <c r="I120" s="586"/>
      <c r="J120" s="586"/>
      <c r="K120" s="587">
        <v>3</v>
      </c>
      <c r="L120" s="587"/>
      <c r="M120" s="587"/>
      <c r="N120" s="592">
        <f t="shared" si="1"/>
        <v>0.03</v>
      </c>
      <c r="O120" s="592">
        <f>N120*K120*H120</f>
        <v>0.89999999999999991</v>
      </c>
    </row>
    <row r="121" spans="1:15" ht="12.75" customHeight="1">
      <c r="A121" s="342"/>
      <c r="B121" s="342"/>
      <c r="C121" s="1038" t="s">
        <v>1501</v>
      </c>
      <c r="D121" s="1038"/>
      <c r="E121" s="1038"/>
      <c r="F121" s="1038"/>
      <c r="G121" s="343" t="s">
        <v>109</v>
      </c>
      <c r="H121" s="586"/>
      <c r="I121" s="586"/>
      <c r="J121" s="586"/>
      <c r="K121" s="587"/>
      <c r="L121" s="587">
        <v>35.953000000000003</v>
      </c>
      <c r="M121" s="587"/>
      <c r="N121" s="592">
        <f t="shared" si="1"/>
        <v>0.03</v>
      </c>
      <c r="O121" s="592">
        <f>L121*N121</f>
        <v>1.0785900000000002</v>
      </c>
    </row>
    <row r="122" spans="1:15" ht="12.75" customHeight="1">
      <c r="A122" s="342"/>
      <c r="B122" s="342"/>
      <c r="C122" s="1038" t="s">
        <v>1502</v>
      </c>
      <c r="D122" s="1038"/>
      <c r="E122" s="1038"/>
      <c r="F122" s="1038"/>
      <c r="G122" s="343" t="s">
        <v>109</v>
      </c>
      <c r="H122" s="586">
        <v>4</v>
      </c>
      <c r="I122" s="586"/>
      <c r="J122" s="586"/>
      <c r="K122" s="587">
        <v>3</v>
      </c>
      <c r="L122" s="587"/>
      <c r="M122" s="587"/>
      <c r="N122" s="592">
        <f t="shared" si="1"/>
        <v>0.03</v>
      </c>
      <c r="O122" s="592">
        <f>N122*K122*H122</f>
        <v>0.36</v>
      </c>
    </row>
    <row r="123" spans="1:15" ht="12.75" customHeight="1">
      <c r="A123" s="342"/>
      <c r="B123" s="342"/>
      <c r="C123" s="1038" t="s">
        <v>1503</v>
      </c>
      <c r="D123" s="1038"/>
      <c r="E123" s="1038"/>
      <c r="F123" s="1038"/>
      <c r="G123" s="343" t="s">
        <v>109</v>
      </c>
      <c r="H123" s="586"/>
      <c r="I123" s="586"/>
      <c r="J123" s="586"/>
      <c r="K123" s="587"/>
      <c r="L123" s="587">
        <f>8.68*2 + 5.05*2</f>
        <v>27.46</v>
      </c>
      <c r="M123" s="587"/>
      <c r="N123" s="592">
        <f t="shared" si="1"/>
        <v>0.03</v>
      </c>
      <c r="O123" s="592">
        <f>L123*N123</f>
        <v>0.82379999999999998</v>
      </c>
    </row>
    <row r="124" spans="1:15" ht="12.75" customHeight="1">
      <c r="A124" s="342"/>
      <c r="B124" s="342"/>
      <c r="C124" s="1038" t="s">
        <v>1504</v>
      </c>
      <c r="D124" s="1038"/>
      <c r="E124" s="1038"/>
      <c r="F124" s="1038"/>
      <c r="G124" s="343" t="s">
        <v>109</v>
      </c>
      <c r="H124" s="586">
        <v>4</v>
      </c>
      <c r="I124" s="586"/>
      <c r="J124" s="586"/>
      <c r="K124" s="587">
        <v>3</v>
      </c>
      <c r="L124" s="587"/>
      <c r="M124" s="587"/>
      <c r="N124" s="592">
        <f t="shared" si="1"/>
        <v>0.03</v>
      </c>
      <c r="O124" s="592">
        <f>N124*K124*H124</f>
        <v>0.36</v>
      </c>
    </row>
    <row r="125" spans="1:15" ht="12.75" customHeight="1">
      <c r="A125" s="342"/>
      <c r="B125" s="342"/>
      <c r="C125" s="1038" t="s">
        <v>1505</v>
      </c>
      <c r="D125" s="1038"/>
      <c r="E125" s="1038"/>
      <c r="F125" s="1038"/>
      <c r="G125" s="343" t="s">
        <v>109</v>
      </c>
      <c r="H125" s="586"/>
      <c r="I125" s="586"/>
      <c r="J125" s="586"/>
      <c r="K125" s="587"/>
      <c r="L125" s="587">
        <f>6.94*2 + 2*6.45</f>
        <v>26.78</v>
      </c>
      <c r="M125" s="587"/>
      <c r="N125" s="592">
        <f t="shared" si="1"/>
        <v>0.03</v>
      </c>
      <c r="O125" s="592">
        <f>L125*N125</f>
        <v>0.8034</v>
      </c>
    </row>
    <row r="126" spans="1:15" ht="12.75" customHeight="1">
      <c r="A126" s="342"/>
      <c r="B126" s="342"/>
      <c r="C126" s="1079" t="s">
        <v>1486</v>
      </c>
      <c r="D126" s="1079"/>
      <c r="E126" s="1079"/>
      <c r="F126" s="1079"/>
      <c r="G126" s="343"/>
      <c r="H126" s="586"/>
      <c r="I126" s="586"/>
      <c r="J126" s="586"/>
      <c r="K126" s="587"/>
      <c r="L126" s="587"/>
      <c r="M126" s="587"/>
      <c r="N126" s="592"/>
      <c r="O126" s="592"/>
    </row>
    <row r="127" spans="1:15" ht="12.75" customHeight="1">
      <c r="A127" s="342"/>
      <c r="B127" s="342"/>
      <c r="C127" s="1038" t="s">
        <v>1506</v>
      </c>
      <c r="D127" s="1038"/>
      <c r="E127" s="1038"/>
      <c r="F127" s="1038"/>
      <c r="G127" s="343" t="s">
        <v>109</v>
      </c>
      <c r="H127" s="586">
        <v>25</v>
      </c>
      <c r="I127" s="586"/>
      <c r="J127" s="586"/>
      <c r="K127" s="587">
        <v>4.5</v>
      </c>
      <c r="L127" s="587"/>
      <c r="M127" s="587"/>
      <c r="N127" s="592">
        <f>0.15*0.2</f>
        <v>0.03</v>
      </c>
      <c r="O127" s="592">
        <f>N127*K127*H127</f>
        <v>3.375</v>
      </c>
    </row>
    <row r="128" spans="1:15" ht="12.75" customHeight="1">
      <c r="A128" s="342"/>
      <c r="B128" s="342"/>
      <c r="C128" s="1038" t="s">
        <v>1507</v>
      </c>
      <c r="D128" s="1038"/>
      <c r="E128" s="1038"/>
      <c r="F128" s="1038"/>
      <c r="G128" s="343" t="s">
        <v>109</v>
      </c>
      <c r="H128" s="586">
        <v>40</v>
      </c>
      <c r="I128" s="586"/>
      <c r="J128" s="586"/>
      <c r="K128" s="587"/>
      <c r="L128" s="587">
        <v>3</v>
      </c>
      <c r="M128" s="587"/>
      <c r="N128" s="592">
        <f>0.15*0.2</f>
        <v>0.03</v>
      </c>
      <c r="O128" s="592">
        <f>H128*L128*N128*2</f>
        <v>7.1999999999999993</v>
      </c>
    </row>
    <row r="129" spans="1:15" ht="12.75" customHeight="1">
      <c r="A129" s="342"/>
      <c r="B129" s="342"/>
      <c r="C129" s="1038" t="s">
        <v>1508</v>
      </c>
      <c r="D129" s="1038"/>
      <c r="E129" s="1038"/>
      <c r="F129" s="1038"/>
      <c r="G129" s="343" t="s">
        <v>109</v>
      </c>
      <c r="H129" s="586">
        <v>4</v>
      </c>
      <c r="I129" s="586"/>
      <c r="J129" s="586"/>
      <c r="K129" s="587">
        <v>3</v>
      </c>
      <c r="L129" s="587"/>
      <c r="M129" s="587"/>
      <c r="N129" s="592">
        <f t="shared" ref="N129:N130" si="2">0.15*0.2</f>
        <v>0.03</v>
      </c>
      <c r="O129" s="592">
        <f>N129*K129*H129</f>
        <v>0.36</v>
      </c>
    </row>
    <row r="130" spans="1:15" ht="12.75" customHeight="1">
      <c r="A130" s="342"/>
      <c r="B130" s="342"/>
      <c r="C130" s="1038" t="s">
        <v>1509</v>
      </c>
      <c r="D130" s="1038"/>
      <c r="E130" s="1038"/>
      <c r="F130" s="1038"/>
      <c r="G130" s="343" t="s">
        <v>109</v>
      </c>
      <c r="H130" s="586"/>
      <c r="I130" s="586"/>
      <c r="J130" s="586"/>
      <c r="K130" s="587"/>
      <c r="L130" s="587">
        <v>19.5</v>
      </c>
      <c r="M130" s="587"/>
      <c r="N130" s="592">
        <f t="shared" si="2"/>
        <v>0.03</v>
      </c>
      <c r="O130" s="592">
        <f>L130*N130</f>
        <v>0.58499999999999996</v>
      </c>
    </row>
    <row r="131" spans="1:15" ht="27" customHeight="1">
      <c r="A131" s="377">
        <f>ORÇAMENTO!A48</f>
        <v>97625</v>
      </c>
      <c r="B131" s="377" t="str">
        <f>ORÇAMENTO!C48</f>
        <v>2.04.09</v>
      </c>
      <c r="C131" s="1047" t="str">
        <f>ORÇAMENTO!D48</f>
        <v>DEMOLIÇÃO DE ALVENARIA PARA QUALQUER TIPO DE BLOCO, DE FORMA MECANIZADA, SEM REAPROVEITAMENTO. AF_12/2017</v>
      </c>
      <c r="D131" s="1047"/>
      <c r="E131" s="1047"/>
      <c r="F131" s="1047"/>
      <c r="G131" s="377" t="str">
        <f>ORÇAMENTO!E48</f>
        <v>M³</v>
      </c>
      <c r="H131" s="383"/>
      <c r="I131" s="379"/>
      <c r="J131" s="380"/>
      <c r="K131" s="379"/>
      <c r="L131" s="380"/>
      <c r="M131" s="379"/>
      <c r="N131" s="380"/>
      <c r="O131" s="380">
        <f>SUM(O132:O143)</f>
        <v>532.62940500000002</v>
      </c>
    </row>
    <row r="132" spans="1:15" ht="12.75" customHeight="1">
      <c r="A132" s="342"/>
      <c r="B132" s="342"/>
      <c r="C132" s="1079" t="s">
        <v>1479</v>
      </c>
      <c r="D132" s="1079"/>
      <c r="E132" s="1079"/>
      <c r="F132" s="1079"/>
      <c r="G132" s="343"/>
      <c r="H132" s="586"/>
      <c r="I132" s="586"/>
      <c r="J132" s="586"/>
      <c r="K132" s="587"/>
      <c r="L132" s="587"/>
      <c r="M132" s="587"/>
      <c r="N132" s="592"/>
      <c r="O132" s="592"/>
    </row>
    <row r="133" spans="1:15" ht="12.75" customHeight="1">
      <c r="A133" s="342"/>
      <c r="B133" s="342"/>
      <c r="C133" s="1038" t="s">
        <v>1489</v>
      </c>
      <c r="D133" s="1038"/>
      <c r="E133" s="1038"/>
      <c r="F133" s="1038"/>
      <c r="G133" s="343" t="s">
        <v>109</v>
      </c>
      <c r="H133" s="586"/>
      <c r="I133" s="586">
        <v>0.15</v>
      </c>
      <c r="J133" s="586"/>
      <c r="K133" s="587">
        <v>6.5</v>
      </c>
      <c r="L133" s="587">
        <f>41.18+(2*11.59)+(3*9)</f>
        <v>91.36</v>
      </c>
      <c r="M133" s="587"/>
      <c r="N133" s="592"/>
      <c r="O133" s="592">
        <f>L133*K133*I133</f>
        <v>89.076000000000008</v>
      </c>
    </row>
    <row r="134" spans="1:15" ht="12.75" customHeight="1">
      <c r="A134" s="342"/>
      <c r="B134" s="342"/>
      <c r="C134" s="1038" t="s">
        <v>1510</v>
      </c>
      <c r="D134" s="1091"/>
      <c r="E134" s="1091"/>
      <c r="F134" s="1092"/>
      <c r="G134" s="343" t="s">
        <v>109</v>
      </c>
      <c r="H134" s="586"/>
      <c r="I134" s="586">
        <v>0.15</v>
      </c>
      <c r="J134" s="586"/>
      <c r="K134" s="587">
        <f>1+2.5</f>
        <v>3.5</v>
      </c>
      <c r="L134" s="587">
        <f>33.8+245.8562</f>
        <v>279.65620000000001</v>
      </c>
      <c r="M134" s="587"/>
      <c r="N134" s="592"/>
      <c r="O134" s="592">
        <f>L134*K134*I134</f>
        <v>146.81950500000002</v>
      </c>
    </row>
    <row r="135" spans="1:15" ht="12.75" customHeight="1">
      <c r="A135" s="342"/>
      <c r="B135" s="342"/>
      <c r="C135" s="1038" t="s">
        <v>1492</v>
      </c>
      <c r="D135" s="1038"/>
      <c r="E135" s="1038"/>
      <c r="F135" s="1038"/>
      <c r="G135" s="343" t="s">
        <v>109</v>
      </c>
      <c r="H135" s="586"/>
      <c r="I135" s="586">
        <v>0.15</v>
      </c>
      <c r="J135" s="586"/>
      <c r="K135" s="587">
        <v>3</v>
      </c>
      <c r="L135" s="587">
        <f>22.62+(3.8*2)</f>
        <v>30.22</v>
      </c>
      <c r="M135" s="587"/>
      <c r="N135" s="592"/>
      <c r="O135" s="592">
        <f t="shared" ref="O135:O143" si="3">L135*K135*I135</f>
        <v>13.598999999999998</v>
      </c>
    </row>
    <row r="136" spans="1:15" ht="12.75" customHeight="1">
      <c r="A136" s="342"/>
      <c r="B136" s="342"/>
      <c r="C136" s="1038" t="s">
        <v>1481</v>
      </c>
      <c r="D136" s="1038"/>
      <c r="E136" s="1038"/>
      <c r="F136" s="1038"/>
      <c r="G136" s="343" t="s">
        <v>109</v>
      </c>
      <c r="H136" s="586"/>
      <c r="I136" s="586">
        <v>0.15</v>
      </c>
      <c r="J136" s="586"/>
      <c r="K136" s="587">
        <v>3</v>
      </c>
      <c r="L136" s="587">
        <v>7.8</v>
      </c>
      <c r="M136" s="587"/>
      <c r="N136" s="592"/>
      <c r="O136" s="592">
        <f t="shared" si="3"/>
        <v>3.51</v>
      </c>
    </row>
    <row r="137" spans="1:15" ht="12.75" customHeight="1">
      <c r="A137" s="342"/>
      <c r="B137" s="342"/>
      <c r="C137" s="1038" t="s">
        <v>1490</v>
      </c>
      <c r="D137" s="1038"/>
      <c r="E137" s="1038"/>
      <c r="F137" s="1038"/>
      <c r="G137" s="343" t="s">
        <v>109</v>
      </c>
      <c r="H137" s="586"/>
      <c r="I137" s="586">
        <v>0.15</v>
      </c>
      <c r="J137" s="586"/>
      <c r="K137" s="587">
        <v>3</v>
      </c>
      <c r="L137" s="587">
        <f>20.7631+(3*5)</f>
        <v>35.763100000000001</v>
      </c>
      <c r="M137" s="587"/>
      <c r="N137" s="592"/>
      <c r="O137" s="592">
        <f t="shared" si="3"/>
        <v>16.093394999999997</v>
      </c>
    </row>
    <row r="138" spans="1:15" ht="12.75" customHeight="1">
      <c r="A138" s="342"/>
      <c r="B138" s="342"/>
      <c r="C138" s="1038" t="s">
        <v>1491</v>
      </c>
      <c r="D138" s="1038"/>
      <c r="E138" s="1038"/>
      <c r="F138" s="1038"/>
      <c r="G138" s="343" t="s">
        <v>109</v>
      </c>
      <c r="H138" s="586"/>
      <c r="I138" s="586">
        <v>0.15</v>
      </c>
      <c r="J138" s="586"/>
      <c r="K138" s="587">
        <v>3</v>
      </c>
      <c r="L138" s="587">
        <v>13.73</v>
      </c>
      <c r="M138" s="587"/>
      <c r="N138" s="592"/>
      <c r="O138" s="592">
        <f t="shared" si="3"/>
        <v>6.1784999999999997</v>
      </c>
    </row>
    <row r="139" spans="1:15" ht="12.75" customHeight="1">
      <c r="A139" s="342"/>
      <c r="B139" s="342"/>
      <c r="C139" s="1038" t="s">
        <v>1493</v>
      </c>
      <c r="D139" s="1038"/>
      <c r="E139" s="1038"/>
      <c r="F139" s="1038"/>
      <c r="G139" s="343" t="s">
        <v>109</v>
      </c>
      <c r="H139" s="586"/>
      <c r="I139" s="586">
        <v>0.15</v>
      </c>
      <c r="J139" s="586"/>
      <c r="K139" s="587">
        <v>3</v>
      </c>
      <c r="L139" s="587">
        <f>6.94*2 + 2*6.45</f>
        <v>26.78</v>
      </c>
      <c r="M139" s="587"/>
      <c r="N139" s="592"/>
      <c r="O139" s="592">
        <f t="shared" si="3"/>
        <v>12.051</v>
      </c>
    </row>
    <row r="140" spans="1:15" ht="12.75" customHeight="1">
      <c r="A140" s="342"/>
      <c r="B140" s="342"/>
      <c r="C140" s="1079" t="s">
        <v>1486</v>
      </c>
      <c r="D140" s="1079"/>
      <c r="E140" s="1079"/>
      <c r="F140" s="1079"/>
      <c r="G140" s="343" t="s">
        <v>109</v>
      </c>
      <c r="H140" s="586"/>
      <c r="I140" s="586"/>
      <c r="J140" s="586"/>
      <c r="K140" s="587"/>
      <c r="L140" s="587"/>
      <c r="M140" s="587"/>
      <c r="N140" s="592"/>
      <c r="O140" s="592"/>
    </row>
    <row r="141" spans="1:15" ht="12.75" customHeight="1">
      <c r="A141" s="342"/>
      <c r="B141" s="342"/>
      <c r="C141" s="1038" t="s">
        <v>1494</v>
      </c>
      <c r="D141" s="1038"/>
      <c r="E141" s="1038"/>
      <c r="F141" s="1038"/>
      <c r="G141" s="343" t="s">
        <v>109</v>
      </c>
      <c r="H141" s="586"/>
      <c r="I141" s="586">
        <v>0.15</v>
      </c>
      <c r="J141" s="586"/>
      <c r="K141" s="587">
        <v>4.5</v>
      </c>
      <c r="L141" s="587">
        <f>66.6+(5.15*6)+(2*17.7)</f>
        <v>132.9</v>
      </c>
      <c r="M141" s="587"/>
      <c r="N141" s="592"/>
      <c r="O141" s="592">
        <f t="shared" si="3"/>
        <v>89.70750000000001</v>
      </c>
    </row>
    <row r="142" spans="1:15" ht="12.75" customHeight="1">
      <c r="A142" s="342"/>
      <c r="B142" s="342"/>
      <c r="C142" s="1038" t="s">
        <v>1510</v>
      </c>
      <c r="D142" s="1038"/>
      <c r="E142" s="1038"/>
      <c r="F142" s="1038"/>
      <c r="G142" s="343" t="s">
        <v>109</v>
      </c>
      <c r="H142" s="586"/>
      <c r="I142" s="586">
        <v>0.15</v>
      </c>
      <c r="J142" s="586"/>
      <c r="K142" s="587">
        <f>1+2.5</f>
        <v>3.5</v>
      </c>
      <c r="L142" s="587">
        <f>33.8+245.8562</f>
        <v>279.65620000000001</v>
      </c>
      <c r="M142" s="587"/>
      <c r="N142" s="592"/>
      <c r="O142" s="592">
        <f>L142*K142*I142</f>
        <v>146.81950500000002</v>
      </c>
    </row>
    <row r="143" spans="1:15" ht="12.75" customHeight="1">
      <c r="A143" s="342"/>
      <c r="B143" s="342"/>
      <c r="C143" s="1038" t="s">
        <v>1488</v>
      </c>
      <c r="D143" s="1038"/>
      <c r="E143" s="1038"/>
      <c r="F143" s="1038"/>
      <c r="G143" s="343" t="s">
        <v>109</v>
      </c>
      <c r="H143" s="586"/>
      <c r="I143" s="586">
        <v>0.15</v>
      </c>
      <c r="J143" s="586"/>
      <c r="K143" s="587">
        <v>3</v>
      </c>
      <c r="L143" s="587">
        <v>19.5</v>
      </c>
      <c r="M143" s="587"/>
      <c r="N143" s="592"/>
      <c r="O143" s="592">
        <f t="shared" si="3"/>
        <v>8.7750000000000004</v>
      </c>
    </row>
    <row r="144" spans="1:15" ht="38.25" customHeight="1">
      <c r="A144" s="377">
        <f>ORÇAMENTO!A49</f>
        <v>100981</v>
      </c>
      <c r="B144" s="377" t="str">
        <f>ORÇAMENTO!C49</f>
        <v>2.04.10</v>
      </c>
      <c r="C144" s="1047" t="str">
        <f>ORÇAMENTO!D49</f>
        <v>CARGA, MANOBRA E DESCARGA DE ENTULHO EM CAMINHÃO BASCULANTE 14 M³ - CARGA COM ESCAVADEIRA HIDRÁULICA (CAÇAMBA DE 0,80 M³ / 111 HP) E DESCARGA LIVRE (UNIDADE: M3). AF_07/2020</v>
      </c>
      <c r="D144" s="1047"/>
      <c r="E144" s="1047"/>
      <c r="F144" s="1047"/>
      <c r="G144" s="377" t="str">
        <f>ORÇAMENTO!E49</f>
        <v>M³</v>
      </c>
      <c r="H144" s="383"/>
      <c r="I144" s="379"/>
      <c r="J144" s="380"/>
      <c r="K144" s="379"/>
      <c r="L144" s="380"/>
      <c r="M144" s="379"/>
      <c r="N144" s="380"/>
      <c r="O144" s="380">
        <f>SUM(O145:O153)</f>
        <v>1837.8278660000001</v>
      </c>
    </row>
    <row r="145" spans="1:15" ht="12.75" customHeight="1">
      <c r="A145" s="342"/>
      <c r="B145" s="342"/>
      <c r="C145" s="1038" t="s">
        <v>1511</v>
      </c>
      <c r="D145" s="1038"/>
      <c r="E145" s="1038"/>
      <c r="F145" s="1038"/>
      <c r="G145" s="343" t="s">
        <v>109</v>
      </c>
      <c r="H145" s="586"/>
      <c r="I145" s="586"/>
      <c r="J145" s="586"/>
      <c r="K145" s="587"/>
      <c r="L145" s="587"/>
      <c r="M145" s="587"/>
      <c r="N145" s="592">
        <f>N80</f>
        <v>778.53610000000003</v>
      </c>
      <c r="O145" s="592">
        <f>N145*0.08</f>
        <v>62.282888000000007</v>
      </c>
    </row>
    <row r="146" spans="1:15" ht="12.75" customHeight="1">
      <c r="A146" s="342"/>
      <c r="B146" s="342"/>
      <c r="C146" s="1038" t="s">
        <v>1512</v>
      </c>
      <c r="D146" s="1038"/>
      <c r="E146" s="1038"/>
      <c r="F146" s="1038"/>
      <c r="G146" s="343" t="s">
        <v>109</v>
      </c>
      <c r="H146" s="586"/>
      <c r="I146" s="586"/>
      <c r="J146" s="586"/>
      <c r="K146" s="587"/>
      <c r="L146" s="587"/>
      <c r="M146" s="587"/>
      <c r="N146" s="592"/>
      <c r="O146" s="592">
        <f>O102</f>
        <v>258.84976000000006</v>
      </c>
    </row>
    <row r="147" spans="1:15" ht="12.75" customHeight="1">
      <c r="A147" s="342"/>
      <c r="B147" s="342"/>
      <c r="C147" s="1038" t="s">
        <v>1513</v>
      </c>
      <c r="D147" s="1038"/>
      <c r="E147" s="1038"/>
      <c r="F147" s="1038"/>
      <c r="G147" s="343" t="s">
        <v>109</v>
      </c>
      <c r="H147" s="586"/>
      <c r="I147" s="586"/>
      <c r="J147" s="586"/>
      <c r="K147" s="587"/>
      <c r="L147" s="587"/>
      <c r="M147" s="587"/>
      <c r="N147" s="592"/>
      <c r="O147" s="592">
        <f>O113</f>
        <v>21.024389999999997</v>
      </c>
    </row>
    <row r="148" spans="1:15" ht="12.75" customHeight="1">
      <c r="A148" s="342"/>
      <c r="B148" s="342"/>
      <c r="C148" s="1038" t="s">
        <v>1514</v>
      </c>
      <c r="D148" s="1038"/>
      <c r="E148" s="1038"/>
      <c r="F148" s="1038"/>
      <c r="G148" s="343" t="s">
        <v>109</v>
      </c>
      <c r="H148" s="586"/>
      <c r="I148" s="586"/>
      <c r="J148" s="586"/>
      <c r="K148" s="587"/>
      <c r="L148" s="587"/>
      <c r="M148" s="587"/>
      <c r="N148" s="592"/>
      <c r="O148" s="592">
        <f>O131</f>
        <v>532.62940500000002</v>
      </c>
    </row>
    <row r="149" spans="1:15" ht="12.75" customHeight="1">
      <c r="A149" s="342"/>
      <c r="B149" s="342"/>
      <c r="C149" s="1038" t="s">
        <v>1515</v>
      </c>
      <c r="D149" s="1038"/>
      <c r="E149" s="1038"/>
      <c r="F149" s="1038"/>
      <c r="G149" s="343" t="s">
        <v>109</v>
      </c>
      <c r="H149" s="586"/>
      <c r="I149" s="586"/>
      <c r="J149" s="586"/>
      <c r="K149" s="587"/>
      <c r="L149" s="587"/>
      <c r="M149" s="587"/>
      <c r="N149" s="592"/>
      <c r="O149" s="592">
        <f>N168</f>
        <v>19.600899999999999</v>
      </c>
    </row>
    <row r="150" spans="1:15" ht="12.75" customHeight="1">
      <c r="A150" s="342"/>
      <c r="B150" s="342"/>
      <c r="C150" s="1038" t="s">
        <v>1516</v>
      </c>
      <c r="D150" s="1038"/>
      <c r="E150" s="1038"/>
      <c r="F150" s="1038"/>
      <c r="G150" s="343" t="s">
        <v>109</v>
      </c>
      <c r="H150" s="586"/>
      <c r="I150" s="586"/>
      <c r="J150" s="586"/>
      <c r="K150" s="587"/>
      <c r="L150" s="587"/>
      <c r="M150" s="587"/>
      <c r="N150" s="592"/>
      <c r="O150" s="592">
        <f>N171*0.1</f>
        <v>8.6433900000000001</v>
      </c>
    </row>
    <row r="151" spans="1:15" ht="12.75" customHeight="1">
      <c r="A151" s="342"/>
      <c r="B151" s="342"/>
      <c r="C151" s="1038" t="s">
        <v>1517</v>
      </c>
      <c r="D151" s="1038"/>
      <c r="E151" s="1038"/>
      <c r="F151" s="1038"/>
      <c r="G151" s="343" t="s">
        <v>109</v>
      </c>
      <c r="H151" s="586"/>
      <c r="I151" s="586"/>
      <c r="J151" s="586"/>
      <c r="K151" s="587"/>
      <c r="L151" s="587"/>
      <c r="M151" s="587"/>
      <c r="N151" s="592"/>
      <c r="O151" s="592">
        <f>N175*0.1</f>
        <v>4.7519999999999998</v>
      </c>
    </row>
    <row r="152" spans="1:15" ht="12.75" customHeight="1">
      <c r="A152" s="342"/>
      <c r="B152" s="342"/>
      <c r="C152" s="1038" t="s">
        <v>1518</v>
      </c>
      <c r="D152" s="1038"/>
      <c r="E152" s="1038"/>
      <c r="F152" s="1038"/>
      <c r="G152" s="343" t="s">
        <v>109</v>
      </c>
      <c r="H152" s="586"/>
      <c r="I152" s="586"/>
      <c r="J152" s="586"/>
      <c r="K152" s="587"/>
      <c r="L152" s="587"/>
      <c r="M152" s="587"/>
      <c r="N152" s="592"/>
      <c r="O152" s="592">
        <f>N178*0.1</f>
        <v>11.1312</v>
      </c>
    </row>
    <row r="153" spans="1:15" ht="12.75" customHeight="1">
      <c r="A153" s="1101" t="s">
        <v>1519</v>
      </c>
      <c r="B153" s="1101"/>
      <c r="C153" s="1101"/>
      <c r="D153" s="1101"/>
      <c r="E153" s="1101"/>
      <c r="F153" s="1101"/>
      <c r="G153" s="1101"/>
      <c r="H153" s="1101"/>
      <c r="I153" s="1101"/>
      <c r="J153" s="1101"/>
      <c r="K153" s="1101"/>
      <c r="L153" s="1101"/>
      <c r="M153" s="1101"/>
      <c r="N153" s="1101"/>
      <c r="O153" s="592">
        <f>SUM(O145:O152)*1</f>
        <v>918.91393300000004</v>
      </c>
    </row>
    <row r="154" spans="1:15" ht="12.75" customHeight="1">
      <c r="A154" s="377">
        <f>ORÇAMENTO!A50</f>
        <v>26</v>
      </c>
      <c r="B154" s="377" t="str">
        <f>ORÇAMENTO!C50</f>
        <v>2.04.11</v>
      </c>
      <c r="C154" s="1047" t="str">
        <f>ORÇAMENTO!D50</f>
        <v>COLETA E CARGA MANUAIS DE ENTULHO</v>
      </c>
      <c r="D154" s="1047"/>
      <c r="E154" s="1047"/>
      <c r="F154" s="1047"/>
      <c r="G154" s="377" t="str">
        <f>ORÇAMENTO!E50</f>
        <v>M³</v>
      </c>
      <c r="H154" s="383"/>
      <c r="I154" s="379"/>
      <c r="J154" s="380"/>
      <c r="K154" s="379"/>
      <c r="L154" s="380"/>
      <c r="M154" s="379"/>
      <c r="N154" s="380"/>
      <c r="O154" s="380">
        <f>SUM(O155:O163)</f>
        <v>1837.8278660000001</v>
      </c>
    </row>
    <row r="155" spans="1:15" ht="12.75" customHeight="1">
      <c r="A155" s="342"/>
      <c r="B155" s="342"/>
      <c r="C155" s="1038" t="s">
        <v>1511</v>
      </c>
      <c r="D155" s="1038"/>
      <c r="E155" s="1038"/>
      <c r="F155" s="1038"/>
      <c r="G155" s="343" t="s">
        <v>109</v>
      </c>
      <c r="H155" s="586"/>
      <c r="I155" s="586"/>
      <c r="J155" s="586"/>
      <c r="K155" s="587"/>
      <c r="L155" s="587"/>
      <c r="M155" s="587"/>
      <c r="N155" s="592">
        <f>N145</f>
        <v>778.53610000000003</v>
      </c>
      <c r="O155" s="592">
        <f>O145</f>
        <v>62.282888000000007</v>
      </c>
    </row>
    <row r="156" spans="1:15" ht="12.75" customHeight="1">
      <c r="A156" s="342"/>
      <c r="B156" s="342"/>
      <c r="C156" s="1038" t="s">
        <v>1512</v>
      </c>
      <c r="D156" s="1038"/>
      <c r="E156" s="1038"/>
      <c r="F156" s="1038"/>
      <c r="G156" s="343" t="s">
        <v>109</v>
      </c>
      <c r="H156" s="586"/>
      <c r="I156" s="586"/>
      <c r="J156" s="586"/>
      <c r="K156" s="587"/>
      <c r="L156" s="587"/>
      <c r="M156" s="587"/>
      <c r="N156" s="592"/>
      <c r="O156" s="592">
        <f>O146</f>
        <v>258.84976000000006</v>
      </c>
    </row>
    <row r="157" spans="1:15" ht="12.75" customHeight="1">
      <c r="A157" s="342"/>
      <c r="B157" s="342"/>
      <c r="C157" s="1038" t="s">
        <v>1513</v>
      </c>
      <c r="D157" s="1038"/>
      <c r="E157" s="1038"/>
      <c r="F157" s="1038"/>
      <c r="G157" s="343" t="s">
        <v>109</v>
      </c>
      <c r="H157" s="586"/>
      <c r="I157" s="586"/>
      <c r="J157" s="586"/>
      <c r="K157" s="587"/>
      <c r="L157" s="587"/>
      <c r="M157" s="587"/>
      <c r="N157" s="592"/>
      <c r="O157" s="592">
        <f>O147</f>
        <v>21.024389999999997</v>
      </c>
    </row>
    <row r="158" spans="1:15" ht="12.75" customHeight="1">
      <c r="A158" s="342"/>
      <c r="B158" s="342"/>
      <c r="C158" s="1038" t="s">
        <v>1514</v>
      </c>
      <c r="D158" s="1038"/>
      <c r="E158" s="1038"/>
      <c r="F158" s="1038"/>
      <c r="G158" s="343" t="s">
        <v>109</v>
      </c>
      <c r="H158" s="586"/>
      <c r="I158" s="586"/>
      <c r="J158" s="586"/>
      <c r="K158" s="587"/>
      <c r="L158" s="587"/>
      <c r="M158" s="587"/>
      <c r="N158" s="592"/>
      <c r="O158" s="592">
        <f>O148</f>
        <v>532.62940500000002</v>
      </c>
    </row>
    <row r="159" spans="1:15" ht="12.75" customHeight="1">
      <c r="A159" s="342"/>
      <c r="B159" s="342"/>
      <c r="C159" s="1038" t="s">
        <v>1515</v>
      </c>
      <c r="D159" s="1038"/>
      <c r="E159" s="1038"/>
      <c r="F159" s="1038"/>
      <c r="G159" s="343" t="s">
        <v>109</v>
      </c>
      <c r="H159" s="586"/>
      <c r="I159" s="586"/>
      <c r="J159" s="586"/>
      <c r="K159" s="587"/>
      <c r="L159" s="587"/>
      <c r="M159" s="587"/>
      <c r="N159" s="592"/>
      <c r="O159" s="592">
        <f>O149</f>
        <v>19.600899999999999</v>
      </c>
    </row>
    <row r="160" spans="1:15" ht="12.75" customHeight="1">
      <c r="A160" s="342"/>
      <c r="B160" s="342"/>
      <c r="C160" s="1038" t="s">
        <v>1516</v>
      </c>
      <c r="D160" s="1038"/>
      <c r="E160" s="1038"/>
      <c r="F160" s="1038"/>
      <c r="G160" s="343" t="s">
        <v>109</v>
      </c>
      <c r="H160" s="586"/>
      <c r="I160" s="586"/>
      <c r="J160" s="586"/>
      <c r="K160" s="587"/>
      <c r="L160" s="587"/>
      <c r="M160" s="587"/>
      <c r="N160" s="592"/>
      <c r="O160" s="592">
        <f>O150</f>
        <v>8.6433900000000001</v>
      </c>
    </row>
    <row r="161" spans="1:15" ht="12.75" customHeight="1">
      <c r="A161" s="342"/>
      <c r="B161" s="342"/>
      <c r="C161" s="1038" t="s">
        <v>1517</v>
      </c>
      <c r="D161" s="1038"/>
      <c r="E161" s="1038"/>
      <c r="F161" s="1038"/>
      <c r="G161" s="343" t="s">
        <v>109</v>
      </c>
      <c r="H161" s="586"/>
      <c r="I161" s="586"/>
      <c r="J161" s="586"/>
      <c r="K161" s="587"/>
      <c r="L161" s="587"/>
      <c r="M161" s="587"/>
      <c r="N161" s="592"/>
      <c r="O161" s="592">
        <f t="shared" ref="O161:O162" si="4">O151</f>
        <v>4.7519999999999998</v>
      </c>
    </row>
    <row r="162" spans="1:15" ht="12.75" customHeight="1">
      <c r="A162" s="342"/>
      <c r="B162" s="342"/>
      <c r="C162" s="1038" t="s">
        <v>1518</v>
      </c>
      <c r="D162" s="1038"/>
      <c r="E162" s="1038"/>
      <c r="F162" s="1038"/>
      <c r="G162" s="343" t="s">
        <v>109</v>
      </c>
      <c r="H162" s="586"/>
      <c r="I162" s="586"/>
      <c r="J162" s="586"/>
      <c r="K162" s="587"/>
      <c r="L162" s="587"/>
      <c r="M162" s="587"/>
      <c r="N162" s="592"/>
      <c r="O162" s="592">
        <f t="shared" si="4"/>
        <v>11.1312</v>
      </c>
    </row>
    <row r="163" spans="1:15" ht="12.75" customHeight="1">
      <c r="A163" s="1101" t="s">
        <v>1519</v>
      </c>
      <c r="B163" s="1101"/>
      <c r="C163" s="1101"/>
      <c r="D163" s="1101"/>
      <c r="E163" s="1101"/>
      <c r="F163" s="1101"/>
      <c r="G163" s="1101"/>
      <c r="H163" s="1101"/>
      <c r="I163" s="1101"/>
      <c r="J163" s="1101"/>
      <c r="K163" s="1101"/>
      <c r="L163" s="1101"/>
      <c r="M163" s="1101"/>
      <c r="N163" s="1101"/>
      <c r="O163" s="592">
        <f>SUM(O155:O162)*1</f>
        <v>918.91393300000004</v>
      </c>
    </row>
    <row r="164" spans="1:15" ht="24.75" customHeight="1">
      <c r="A164" s="377">
        <f>ORÇAMENTO!A51</f>
        <v>95876</v>
      </c>
      <c r="B164" s="377" t="str">
        <f>ORÇAMENTO!C51</f>
        <v>2.04.12</v>
      </c>
      <c r="C164" s="1047" t="str">
        <f>ORÇAMENTO!D51</f>
        <v>TRANSPORTE COM CAMINHÃO BASCULANTE DE 14 M³, EM VIA URBANA PAVIMENTADA, DMT ATÉ 30 KM (UNIDADE: M3XKM). AF_07/2020</v>
      </c>
      <c r="D164" s="1047"/>
      <c r="E164" s="1047"/>
      <c r="F164" s="1047"/>
      <c r="G164" s="377" t="str">
        <f>ORÇAMENTO!E51</f>
        <v>M³XKM</v>
      </c>
      <c r="H164" s="380">
        <f>SUM(H165)</f>
        <v>55134.835980000003</v>
      </c>
      <c r="I164" s="379"/>
      <c r="J164" s="380"/>
      <c r="K164" s="379"/>
      <c r="L164" s="380"/>
      <c r="M164" s="379"/>
      <c r="N164" s="380"/>
      <c r="O164" s="380"/>
    </row>
    <row r="165" spans="1:15" ht="12.75" customHeight="1">
      <c r="A165" s="342"/>
      <c r="B165" s="342"/>
      <c r="C165" s="1038" t="s">
        <v>1520</v>
      </c>
      <c r="D165" s="1038"/>
      <c r="E165" s="1038"/>
      <c r="F165" s="1038"/>
      <c r="G165" s="343" t="s">
        <v>120</v>
      </c>
      <c r="H165" s="586">
        <f>L165*O165</f>
        <v>55134.835980000003</v>
      </c>
      <c r="I165" s="586"/>
      <c r="J165" s="586"/>
      <c r="K165" s="587"/>
      <c r="L165" s="587">
        <v>30</v>
      </c>
      <c r="M165" s="587"/>
      <c r="N165" s="592"/>
      <c r="O165" s="592">
        <f>O154</f>
        <v>1837.8278660000001</v>
      </c>
    </row>
    <row r="166" spans="1:15" ht="12.75" customHeight="1">
      <c r="A166" s="377">
        <f>ORÇAMENTO!A52</f>
        <v>93593</v>
      </c>
      <c r="B166" s="377" t="str">
        <f>ORÇAMENTO!C52</f>
        <v>2.04.13</v>
      </c>
      <c r="C166" s="1047" t="str">
        <f>ORÇAMENTO!D52</f>
        <v>TRANSPORTE COM CAMINHÃO BASCULANTE DE 14 M³, EM VIA URBANA PAVIMENTADA, ADICIONAL PARA DMT EXCEDENTE A 30 KM (UNIDADE: M3XKM). AF_07/2020</v>
      </c>
      <c r="D166" s="1047"/>
      <c r="E166" s="1047"/>
      <c r="F166" s="1047"/>
      <c r="G166" s="377" t="str">
        <f>ORÇAMENTO!E52</f>
        <v>M³XKM</v>
      </c>
      <c r="H166" s="380">
        <f>SUM(H167)</f>
        <v>128647.95062</v>
      </c>
      <c r="I166" s="379"/>
      <c r="J166" s="380"/>
      <c r="K166" s="379"/>
      <c r="L166" s="380"/>
      <c r="M166" s="379"/>
      <c r="N166" s="380"/>
      <c r="O166" s="380"/>
    </row>
    <row r="167" spans="1:15" ht="12.75" customHeight="1">
      <c r="A167" s="342"/>
      <c r="B167" s="342"/>
      <c r="C167" s="1038" t="s">
        <v>1520</v>
      </c>
      <c r="D167" s="1038"/>
      <c r="E167" s="1038"/>
      <c r="F167" s="1038"/>
      <c r="G167" s="343" t="s">
        <v>120</v>
      </c>
      <c r="H167" s="586">
        <f>L167*O167</f>
        <v>128647.95062</v>
      </c>
      <c r="I167" s="586"/>
      <c r="J167" s="586"/>
      <c r="K167" s="587"/>
      <c r="L167" s="587">
        <v>70</v>
      </c>
      <c r="M167" s="587"/>
      <c r="N167" s="592"/>
      <c r="O167" s="592">
        <f>O154</f>
        <v>1837.8278660000001</v>
      </c>
    </row>
    <row r="168" spans="1:15" ht="29.25" customHeight="1">
      <c r="A168" s="377">
        <f>ORÇAMENTO!A53</f>
        <v>8344</v>
      </c>
      <c r="B168" s="377" t="str">
        <f>ORÇAMENTO!C53</f>
        <v>2.04.14</v>
      </c>
      <c r="C168" s="1047" t="str">
        <f>ORÇAMENTO!D53</f>
        <v>DESMONTAGEM DE ESTRUTURA METÁLICA COM RETIRADA DE SOLDA E CORTE DE PEÇAS POR MEIO DE LIXADEIRA</v>
      </c>
      <c r="D168" s="1047"/>
      <c r="E168" s="1047"/>
      <c r="F168" s="1047"/>
      <c r="G168" s="377" t="str">
        <f>ORÇAMENTO!E53</f>
        <v>M²</v>
      </c>
      <c r="H168" s="383"/>
      <c r="I168" s="379"/>
      <c r="J168" s="380"/>
      <c r="K168" s="379"/>
      <c r="L168" s="380"/>
      <c r="M168" s="379"/>
      <c r="N168" s="380">
        <f>SUM(N169:N170)</f>
        <v>19.600899999999999</v>
      </c>
      <c r="O168" s="380"/>
    </row>
    <row r="169" spans="1:15" ht="12.75" customHeight="1">
      <c r="A169" s="342"/>
      <c r="B169" s="342"/>
      <c r="C169" s="1038" t="s">
        <v>1521</v>
      </c>
      <c r="D169" s="1038"/>
      <c r="E169" s="1038"/>
      <c r="F169" s="1038"/>
      <c r="G169" s="343" t="s">
        <v>61</v>
      </c>
      <c r="H169" s="586">
        <v>4</v>
      </c>
      <c r="I169" s="586"/>
      <c r="J169" s="586"/>
      <c r="K169" s="587"/>
      <c r="L169" s="587"/>
      <c r="M169" s="587"/>
      <c r="N169" s="592">
        <f>1.7819*H169</f>
        <v>7.1276000000000002</v>
      </c>
      <c r="O169" s="592"/>
    </row>
    <row r="170" spans="1:15" ht="12.75" customHeight="1">
      <c r="A170" s="342"/>
      <c r="B170" s="342"/>
      <c r="C170" s="1038" t="s">
        <v>1522</v>
      </c>
      <c r="D170" s="1038"/>
      <c r="E170" s="1038"/>
      <c r="F170" s="1038"/>
      <c r="G170" s="343" t="s">
        <v>61</v>
      </c>
      <c r="H170" s="586">
        <v>7</v>
      </c>
      <c r="I170" s="586"/>
      <c r="J170" s="586"/>
      <c r="K170" s="587"/>
      <c r="L170" s="587"/>
      <c r="M170" s="587"/>
      <c r="N170" s="592">
        <f>1.7819*H170</f>
        <v>12.4733</v>
      </c>
      <c r="O170" s="592"/>
    </row>
    <row r="171" spans="1:15">
      <c r="A171" s="377">
        <f>ORÇAMENTO!A54</f>
        <v>31</v>
      </c>
      <c r="B171" s="377" t="str">
        <f>ORÇAMENTO!C54</f>
        <v>2.04.15</v>
      </c>
      <c r="C171" s="1047" t="str">
        <f>ORÇAMENTO!D54</f>
        <v>REMOÇÃO DE ESQUADRIA DE MADEIRA, COM OU SEM BATENTE</v>
      </c>
      <c r="D171" s="1047"/>
      <c r="E171" s="1047"/>
      <c r="F171" s="1047"/>
      <c r="G171" s="377" t="str">
        <f>ORÇAMENTO!E54</f>
        <v>M²</v>
      </c>
      <c r="H171" s="383"/>
      <c r="I171" s="379"/>
      <c r="J171" s="380"/>
      <c r="K171" s="379"/>
      <c r="L171" s="380"/>
      <c r="M171" s="379"/>
      <c r="N171" s="380">
        <f>SUM(N172:N174)</f>
        <v>86.433899999999994</v>
      </c>
      <c r="O171" s="380"/>
    </row>
    <row r="172" spans="1:15" ht="12.75" customHeight="1">
      <c r="A172" s="342"/>
      <c r="B172" s="342"/>
      <c r="C172" s="1038" t="s">
        <v>1523</v>
      </c>
      <c r="D172" s="1038"/>
      <c r="E172" s="1038"/>
      <c r="F172" s="1038"/>
      <c r="G172" s="343" t="s">
        <v>61</v>
      </c>
      <c r="H172" s="586">
        <f>21+9</f>
        <v>30</v>
      </c>
      <c r="I172" s="586">
        <v>0.83</v>
      </c>
      <c r="J172" s="586"/>
      <c r="K172" s="587">
        <v>2.13</v>
      </c>
      <c r="L172" s="587"/>
      <c r="M172" s="587"/>
      <c r="N172" s="592">
        <f>K172*I172*H172</f>
        <v>53.036999999999992</v>
      </c>
      <c r="O172" s="592"/>
    </row>
    <row r="173" spans="1:15" ht="12.75" customHeight="1">
      <c r="A173" s="342"/>
      <c r="B173" s="342"/>
      <c r="C173" s="1038" t="s">
        <v>1523</v>
      </c>
      <c r="D173" s="1038"/>
      <c r="E173" s="1038"/>
      <c r="F173" s="1038"/>
      <c r="G173" s="343" t="s">
        <v>61</v>
      </c>
      <c r="H173" s="586">
        <v>1</v>
      </c>
      <c r="I173" s="586">
        <v>4.6500000000000004</v>
      </c>
      <c r="J173" s="586"/>
      <c r="K173" s="587">
        <v>3</v>
      </c>
      <c r="L173" s="587"/>
      <c r="M173" s="587"/>
      <c r="N173" s="592">
        <f>K173*I173*H173</f>
        <v>13.950000000000001</v>
      </c>
      <c r="O173" s="592"/>
    </row>
    <row r="174" spans="1:15" ht="12.75" customHeight="1">
      <c r="A174" s="342"/>
      <c r="B174" s="342"/>
      <c r="C174" s="1038" t="s">
        <v>1524</v>
      </c>
      <c r="D174" s="1038"/>
      <c r="E174" s="1038"/>
      <c r="F174" s="1038"/>
      <c r="G174" s="343" t="s">
        <v>61</v>
      </c>
      <c r="H174" s="586">
        <v>11</v>
      </c>
      <c r="I174" s="586">
        <v>0.83</v>
      </c>
      <c r="J174" s="586"/>
      <c r="K174" s="587">
        <v>2.13</v>
      </c>
      <c r="L174" s="587"/>
      <c r="M174" s="587"/>
      <c r="N174" s="592">
        <f>K174*I174*H174</f>
        <v>19.446899999999999</v>
      </c>
      <c r="O174" s="592"/>
    </row>
    <row r="175" spans="1:15">
      <c r="A175" s="377">
        <f>ORÇAMENTO!A55</f>
        <v>12346</v>
      </c>
      <c r="B175" s="377" t="str">
        <f>ORÇAMENTO!C55</f>
        <v>2.04.16</v>
      </c>
      <c r="C175" s="1047" t="str">
        <f>ORÇAMENTO!D55</f>
        <v>REMOÇÃO DE ESQUADRIA DE ALUMÍNIO E VIDRO REV. 01 - 03/2022</v>
      </c>
      <c r="D175" s="1047"/>
      <c r="E175" s="1047"/>
      <c r="F175" s="1047"/>
      <c r="G175" s="377" t="str">
        <f>ORÇAMENTO!E55</f>
        <v>M²</v>
      </c>
      <c r="H175" s="383"/>
      <c r="I175" s="379"/>
      <c r="J175" s="380"/>
      <c r="K175" s="379"/>
      <c r="L175" s="380"/>
      <c r="M175" s="379"/>
      <c r="N175" s="380">
        <f>SUM(N176:N177)</f>
        <v>47.519999999999996</v>
      </c>
      <c r="O175" s="380"/>
    </row>
    <row r="176" spans="1:15" ht="12.75" customHeight="1">
      <c r="A176" s="342"/>
      <c r="B176" s="342"/>
      <c r="C176" s="1038" t="s">
        <v>1525</v>
      </c>
      <c r="D176" s="1038"/>
      <c r="E176" s="1038"/>
      <c r="F176" s="1038"/>
      <c r="G176" s="343" t="s">
        <v>61</v>
      </c>
      <c r="H176" s="586">
        <f>5+14</f>
        <v>19</v>
      </c>
      <c r="I176" s="586">
        <v>1.2</v>
      </c>
      <c r="J176" s="586"/>
      <c r="K176" s="587">
        <v>1.2</v>
      </c>
      <c r="L176" s="587"/>
      <c r="M176" s="587"/>
      <c r="N176" s="592">
        <f>K176*I176*H176</f>
        <v>27.36</v>
      </c>
      <c r="O176" s="592"/>
    </row>
    <row r="177" spans="1:15" ht="12.75" customHeight="1">
      <c r="A177" s="342"/>
      <c r="B177" s="342"/>
      <c r="C177" s="1038" t="s">
        <v>1526</v>
      </c>
      <c r="D177" s="1038"/>
      <c r="E177" s="1038"/>
      <c r="F177" s="1038"/>
      <c r="G177" s="343" t="s">
        <v>61</v>
      </c>
      <c r="H177" s="586">
        <v>14</v>
      </c>
      <c r="I177" s="586">
        <v>1.2</v>
      </c>
      <c r="J177" s="586"/>
      <c r="K177" s="587">
        <v>1.2</v>
      </c>
      <c r="L177" s="587"/>
      <c r="M177" s="587"/>
      <c r="N177" s="592">
        <f>K177*I177*H177</f>
        <v>20.16</v>
      </c>
      <c r="O177" s="592"/>
    </row>
    <row r="178" spans="1:15" ht="24.75" customHeight="1">
      <c r="A178" s="377">
        <f>ORÇAMENTO!A56</f>
        <v>4942</v>
      </c>
      <c r="B178" s="377" t="str">
        <f>ORÇAMENTO!C56</f>
        <v>2.04.17</v>
      </c>
      <c r="C178" s="1047" t="str">
        <f>ORÇAMENTO!D56</f>
        <v>REMOÇÃO DE ESQUADRIA METÁLICA, COM OU SEM REAPROVEITAMENTO REV. 01 - 03/2022</v>
      </c>
      <c r="D178" s="1047"/>
      <c r="E178" s="1047"/>
      <c r="F178" s="1047"/>
      <c r="G178" s="377" t="str">
        <f>ORÇAMENTO!E56</f>
        <v>M²</v>
      </c>
      <c r="H178" s="383"/>
      <c r="I178" s="379"/>
      <c r="J178" s="380"/>
      <c r="K178" s="379"/>
      <c r="L178" s="380"/>
      <c r="M178" s="379"/>
      <c r="N178" s="380">
        <f>SUM(N179:N181)</f>
        <v>111.31199999999998</v>
      </c>
      <c r="O178" s="380"/>
    </row>
    <row r="179" spans="1:15" ht="12.75" customHeight="1">
      <c r="A179" s="342"/>
      <c r="B179" s="342"/>
      <c r="C179" s="1038" t="s">
        <v>1527</v>
      </c>
      <c r="D179" s="1038"/>
      <c r="E179" s="1038"/>
      <c r="F179" s="1038"/>
      <c r="G179" s="343" t="s">
        <v>61</v>
      </c>
      <c r="H179" s="586"/>
      <c r="I179" s="586"/>
      <c r="J179" s="586"/>
      <c r="K179" s="587"/>
      <c r="L179" s="587"/>
      <c r="M179" s="587"/>
      <c r="N179" s="592">
        <f>N176</f>
        <v>27.36</v>
      </c>
      <c r="O179" s="592"/>
    </row>
    <row r="180" spans="1:15" ht="12.75" customHeight="1">
      <c r="A180" s="342"/>
      <c r="B180" s="342"/>
      <c r="C180" s="1038" t="s">
        <v>1528</v>
      </c>
      <c r="D180" s="1038"/>
      <c r="E180" s="1038"/>
      <c r="F180" s="1038"/>
      <c r="G180" s="343" t="s">
        <v>61</v>
      </c>
      <c r="H180" s="586"/>
      <c r="I180" s="586"/>
      <c r="J180" s="586"/>
      <c r="K180" s="587"/>
      <c r="L180" s="587"/>
      <c r="M180" s="587"/>
      <c r="N180" s="592">
        <f>N177</f>
        <v>20.16</v>
      </c>
      <c r="O180" s="592"/>
    </row>
    <row r="181" spans="1:15" ht="12.75" customHeight="1">
      <c r="A181" s="342"/>
      <c r="B181" s="342"/>
      <c r="C181" s="1038" t="s">
        <v>1529</v>
      </c>
      <c r="D181" s="1038"/>
      <c r="E181" s="1038"/>
      <c r="F181" s="1038"/>
      <c r="G181" s="343" t="s">
        <v>61</v>
      </c>
      <c r="H181" s="586"/>
      <c r="I181" s="586"/>
      <c r="J181" s="586"/>
      <c r="K181" s="587"/>
      <c r="L181" s="587"/>
      <c r="M181" s="587"/>
      <c r="N181" s="592">
        <f>53.16*1.2</f>
        <v>63.791999999999994</v>
      </c>
      <c r="O181" s="592"/>
    </row>
    <row r="182" spans="1:15" s="109" customFormat="1" ht="24.6" customHeight="1">
      <c r="A182" s="373" t="s">
        <v>11</v>
      </c>
      <c r="B182" s="374" t="s">
        <v>13</v>
      </c>
      <c r="C182" s="1007" t="s">
        <v>1443</v>
      </c>
      <c r="D182" s="1007"/>
      <c r="E182" s="1007"/>
      <c r="F182" s="1007"/>
      <c r="G182" s="374" t="s">
        <v>15</v>
      </c>
      <c r="H182" s="386" t="s">
        <v>1444</v>
      </c>
      <c r="I182" s="107" t="s">
        <v>1445</v>
      </c>
      <c r="J182" s="108" t="s">
        <v>1446</v>
      </c>
      <c r="K182" s="386" t="s">
        <v>1447</v>
      </c>
      <c r="L182" s="375" t="s">
        <v>1448</v>
      </c>
      <c r="M182" s="374" t="s">
        <v>1457</v>
      </c>
      <c r="N182" s="375" t="s">
        <v>1450</v>
      </c>
      <c r="O182" s="386" t="s">
        <v>1451</v>
      </c>
    </row>
    <row r="183" spans="1:15" s="109" customFormat="1" ht="18.600000000000001" customHeight="1">
      <c r="A183" s="376"/>
      <c r="B183" s="376" t="str">
        <f>ORÇAMENTO!C57</f>
        <v>3.00</v>
      </c>
      <c r="C183" s="1067" t="str">
        <f>ORÇAMENTO!D57</f>
        <v>MOVIMENTO DE TERRA E ESCAVAÇÕES</v>
      </c>
      <c r="D183" s="1067"/>
      <c r="E183" s="1067"/>
      <c r="F183" s="1067"/>
      <c r="G183" s="1039"/>
      <c r="H183" s="1039"/>
      <c r="I183" s="1039"/>
      <c r="J183" s="1039"/>
      <c r="K183" s="1039"/>
      <c r="L183" s="1039"/>
      <c r="M183" s="1039"/>
      <c r="N183" s="1039"/>
      <c r="O183" s="1039"/>
    </row>
    <row r="184" spans="1:15" s="109" customFormat="1" ht="19.899999999999999" customHeight="1">
      <c r="A184" s="376"/>
      <c r="B184" s="376" t="str">
        <f>ORÇAMENTO!C58</f>
        <v>3.01</v>
      </c>
      <c r="C184" s="1066" t="str">
        <f>ORÇAMENTO!D58</f>
        <v>ESCAVAÇÕES</v>
      </c>
      <c r="D184" s="1066"/>
      <c r="E184" s="1066"/>
      <c r="F184" s="1066"/>
      <c r="G184" s="1039"/>
      <c r="H184" s="1039"/>
      <c r="I184" s="1039"/>
      <c r="J184" s="1039"/>
      <c r="K184" s="1039"/>
      <c r="L184" s="1039"/>
      <c r="M184" s="1039"/>
      <c r="N184" s="1039"/>
      <c r="O184" s="1039"/>
    </row>
    <row r="185" spans="1:15" s="109" customFormat="1" ht="32.25" customHeight="1">
      <c r="A185" s="377">
        <f>ORÇAMENTO!A59</f>
        <v>2497</v>
      </c>
      <c r="B185" s="377" t="str">
        <f>ORÇAMENTO!C59</f>
        <v>3.01.01</v>
      </c>
      <c r="C185" s="1071" t="str">
        <f>ORÇAMENTO!D59</f>
        <v>ESCAVAÇÃO MANUAL DE VALA OU CAVA EM MATERIAL DE 1ª CATEGORIA, PROFUNDIDADE ATÉ 1,50M</v>
      </c>
      <c r="D185" s="1071"/>
      <c r="E185" s="1071"/>
      <c r="F185" s="1071"/>
      <c r="G185" s="377" t="str">
        <f>ORÇAMENTO!E59</f>
        <v>M³</v>
      </c>
      <c r="H185" s="380"/>
      <c r="I185" s="387"/>
      <c r="J185" s="380"/>
      <c r="K185" s="388"/>
      <c r="L185" s="380"/>
      <c r="M185" s="379"/>
      <c r="N185" s="380"/>
      <c r="O185" s="380">
        <f>SUM(O187:O212)</f>
        <v>539.03055000000006</v>
      </c>
    </row>
    <row r="186" spans="1:15" s="109" customFormat="1">
      <c r="A186" s="342"/>
      <c r="B186" s="342"/>
      <c r="C186" s="1096" t="s">
        <v>1530</v>
      </c>
      <c r="D186" s="1096"/>
      <c r="E186" s="1096"/>
      <c r="F186" s="1096"/>
      <c r="G186" s="389"/>
      <c r="H186" s="582"/>
      <c r="I186" s="588"/>
      <c r="J186" s="582"/>
      <c r="K186" s="583"/>
      <c r="L186" s="583"/>
      <c r="M186" s="583"/>
      <c r="N186" s="589"/>
      <c r="O186" s="589"/>
    </row>
    <row r="187" spans="1:15" s="109" customFormat="1" ht="31.9" customHeight="1">
      <c r="A187" s="342"/>
      <c r="B187" s="342" t="s">
        <v>1531</v>
      </c>
      <c r="C187" s="1024" t="s">
        <v>1532</v>
      </c>
      <c r="D187" s="1024"/>
      <c r="E187" s="1024"/>
      <c r="F187" s="1024"/>
      <c r="G187" s="389" t="s">
        <v>109</v>
      </c>
      <c r="H187" s="582">
        <v>27</v>
      </c>
      <c r="I187" s="588"/>
      <c r="J187" s="582"/>
      <c r="K187" s="583">
        <v>0.45</v>
      </c>
      <c r="L187" s="583"/>
      <c r="M187" s="583"/>
      <c r="N187" s="589">
        <f>(0.6+0.1)*(0.6+0.1)</f>
        <v>0.48999999999999994</v>
      </c>
      <c r="O187" s="589">
        <f>N187*K187*H187</f>
        <v>5.9534999999999991</v>
      </c>
    </row>
    <row r="188" spans="1:15" s="109" customFormat="1" ht="33.6" customHeight="1">
      <c r="A188" s="342"/>
      <c r="B188" s="342" t="s">
        <v>1533</v>
      </c>
      <c r="C188" s="1024" t="s">
        <v>1534</v>
      </c>
      <c r="D188" s="1024"/>
      <c r="E188" s="1024"/>
      <c r="F188" s="1024"/>
      <c r="G188" s="389" t="s">
        <v>109</v>
      </c>
      <c r="H188" s="582">
        <v>20</v>
      </c>
      <c r="I188" s="588"/>
      <c r="J188" s="582"/>
      <c r="K188" s="583">
        <v>0.45</v>
      </c>
      <c r="L188" s="583"/>
      <c r="M188" s="583"/>
      <c r="N188" s="589">
        <f>(0.7+0.1)*(0.7+0.1)</f>
        <v>0.6399999999999999</v>
      </c>
      <c r="O188" s="589">
        <f t="shared" ref="O188:O197" si="5">N188*K188*H188</f>
        <v>5.76</v>
      </c>
    </row>
    <row r="189" spans="1:15" s="109" customFormat="1" ht="15" customHeight="1">
      <c r="A189" s="342"/>
      <c r="B189" s="342" t="s">
        <v>1535</v>
      </c>
      <c r="C189" s="1024" t="s">
        <v>1536</v>
      </c>
      <c r="D189" s="1024"/>
      <c r="E189" s="1024"/>
      <c r="F189" s="1024"/>
      <c r="G189" s="389" t="s">
        <v>109</v>
      </c>
      <c r="H189" s="582">
        <v>10</v>
      </c>
      <c r="I189" s="588"/>
      <c r="J189" s="582"/>
      <c r="K189" s="583">
        <v>0.45</v>
      </c>
      <c r="L189" s="583"/>
      <c r="M189" s="583"/>
      <c r="N189" s="589">
        <f>(0.8+0.1)*(0.8+0.1)</f>
        <v>0.81</v>
      </c>
      <c r="O189" s="589">
        <f t="shared" si="5"/>
        <v>3.6450000000000005</v>
      </c>
    </row>
    <row r="190" spans="1:15" s="109" customFormat="1" ht="15" customHeight="1">
      <c r="A190" s="342"/>
      <c r="B190" s="342" t="s">
        <v>1537</v>
      </c>
      <c r="C190" s="1024" t="s">
        <v>1538</v>
      </c>
      <c r="D190" s="1024"/>
      <c r="E190" s="1024"/>
      <c r="F190" s="1024"/>
      <c r="G190" s="389" t="s">
        <v>109</v>
      </c>
      <c r="H190" s="582">
        <v>6</v>
      </c>
      <c r="I190" s="588"/>
      <c r="J190" s="582"/>
      <c r="K190" s="583">
        <v>0.45</v>
      </c>
      <c r="L190" s="583"/>
      <c r="M190" s="583"/>
      <c r="N190" s="589">
        <f>(0.9+0.1)*(0.9+0.1)</f>
        <v>1</v>
      </c>
      <c r="O190" s="589">
        <f t="shared" si="5"/>
        <v>2.7</v>
      </c>
    </row>
    <row r="191" spans="1:15" s="109" customFormat="1">
      <c r="A191" s="342"/>
      <c r="B191" s="342" t="s">
        <v>1539</v>
      </c>
      <c r="C191" s="1024" t="s">
        <v>1540</v>
      </c>
      <c r="D191" s="1024"/>
      <c r="E191" s="1024"/>
      <c r="F191" s="1024"/>
      <c r="G191" s="389" t="s">
        <v>109</v>
      </c>
      <c r="H191" s="582">
        <v>6</v>
      </c>
      <c r="I191" s="588"/>
      <c r="J191" s="582"/>
      <c r="K191" s="583">
        <v>0.45</v>
      </c>
      <c r="L191" s="583"/>
      <c r="M191" s="583"/>
      <c r="N191" s="589">
        <f>(1.1+0.1)*(1.1+0.1)</f>
        <v>1.4400000000000004</v>
      </c>
      <c r="O191" s="589">
        <f t="shared" si="5"/>
        <v>3.8880000000000017</v>
      </c>
    </row>
    <row r="192" spans="1:15" s="109" customFormat="1" ht="15" customHeight="1">
      <c r="A192" s="342"/>
      <c r="B192" s="342" t="s">
        <v>1541</v>
      </c>
      <c r="C192" s="1024" t="s">
        <v>1542</v>
      </c>
      <c r="D192" s="1024"/>
      <c r="E192" s="1024"/>
      <c r="F192" s="1024"/>
      <c r="G192" s="389" t="s">
        <v>109</v>
      </c>
      <c r="H192" s="582">
        <v>1</v>
      </c>
      <c r="I192" s="588"/>
      <c r="J192" s="582"/>
      <c r="K192" s="583">
        <v>0.45</v>
      </c>
      <c r="L192" s="583"/>
      <c r="M192" s="583"/>
      <c r="N192" s="589">
        <f>(1.7+0.1)*(1.7+0.1)</f>
        <v>3.24</v>
      </c>
      <c r="O192" s="589">
        <f t="shared" si="5"/>
        <v>1.4580000000000002</v>
      </c>
    </row>
    <row r="193" spans="1:15">
      <c r="A193" s="342"/>
      <c r="B193" s="342" t="s">
        <v>1543</v>
      </c>
      <c r="C193" s="1024" t="s">
        <v>1544</v>
      </c>
      <c r="D193" s="1024"/>
      <c r="E193" s="1024"/>
      <c r="F193" s="1024"/>
      <c r="G193" s="389" t="s">
        <v>109</v>
      </c>
      <c r="H193" s="582">
        <v>1</v>
      </c>
      <c r="I193" s="582"/>
      <c r="J193" s="582"/>
      <c r="K193" s="583">
        <v>0.45</v>
      </c>
      <c r="L193" s="583"/>
      <c r="M193" s="583"/>
      <c r="N193" s="589">
        <f>(1.85+0.1)*(1.85+0.1)</f>
        <v>3.8025000000000007</v>
      </c>
      <c r="O193" s="589">
        <f t="shared" si="5"/>
        <v>1.7111250000000002</v>
      </c>
    </row>
    <row r="194" spans="1:15" ht="18" customHeight="1">
      <c r="A194" s="342"/>
      <c r="B194" s="342" t="s">
        <v>1545</v>
      </c>
      <c r="C194" s="1024" t="s">
        <v>1546</v>
      </c>
      <c r="D194" s="1024"/>
      <c r="E194" s="1024"/>
      <c r="F194" s="1024"/>
      <c r="G194" s="389" t="s">
        <v>109</v>
      </c>
      <c r="H194" s="582">
        <v>1</v>
      </c>
      <c r="I194" s="582"/>
      <c r="J194" s="582"/>
      <c r="K194" s="583">
        <v>0.45</v>
      </c>
      <c r="L194" s="583"/>
      <c r="M194" s="583"/>
      <c r="N194" s="589">
        <f>(1.35+0.1)*(1.35+0.1)</f>
        <v>2.1025000000000005</v>
      </c>
      <c r="O194" s="589">
        <f t="shared" si="5"/>
        <v>0.94612500000000022</v>
      </c>
    </row>
    <row r="195" spans="1:15" ht="18" customHeight="1">
      <c r="A195" s="342"/>
      <c r="B195" s="342"/>
      <c r="C195" s="1008" t="s">
        <v>1547</v>
      </c>
      <c r="D195" s="1008"/>
      <c r="E195" s="1008"/>
      <c r="F195" s="1008"/>
      <c r="G195" s="389"/>
      <c r="H195" s="582"/>
      <c r="I195" s="582"/>
      <c r="J195" s="582"/>
      <c r="K195" s="583"/>
      <c r="L195" s="583"/>
      <c r="M195" s="583"/>
      <c r="N195" s="589"/>
      <c r="O195" s="589"/>
    </row>
    <row r="196" spans="1:15" ht="18" customHeight="1">
      <c r="A196" s="342"/>
      <c r="B196" s="342" t="s">
        <v>1533</v>
      </c>
      <c r="C196" s="1027" t="s">
        <v>1548</v>
      </c>
      <c r="D196" s="1027"/>
      <c r="E196" s="1027"/>
      <c r="F196" s="1027"/>
      <c r="G196" s="389" t="s">
        <v>109</v>
      </c>
      <c r="H196" s="582">
        <v>1</v>
      </c>
      <c r="I196" s="582"/>
      <c r="J196" s="582"/>
      <c r="K196" s="583">
        <v>0.65</v>
      </c>
      <c r="L196" s="583"/>
      <c r="M196" s="583"/>
      <c r="N196" s="589">
        <f>(0.6+0.1)*(0.6+0.1)</f>
        <v>0.48999999999999994</v>
      </c>
      <c r="O196" s="589">
        <f t="shared" si="5"/>
        <v>0.31849999999999995</v>
      </c>
    </row>
    <row r="197" spans="1:15" ht="18" customHeight="1">
      <c r="A197" s="342"/>
      <c r="B197" s="342" t="s">
        <v>1549</v>
      </c>
      <c r="C197" s="1027" t="s">
        <v>1550</v>
      </c>
      <c r="D197" s="1027"/>
      <c r="E197" s="1027"/>
      <c r="F197" s="1027"/>
      <c r="G197" s="389" t="s">
        <v>109</v>
      </c>
      <c r="H197" s="582">
        <v>5</v>
      </c>
      <c r="I197" s="582"/>
      <c r="J197" s="582"/>
      <c r="K197" s="583">
        <v>0.7</v>
      </c>
      <c r="L197" s="583"/>
      <c r="M197" s="583"/>
      <c r="N197" s="589">
        <f>(1+0.1)*(1.4+0.1)</f>
        <v>1.6500000000000001</v>
      </c>
      <c r="O197" s="589">
        <f t="shared" si="5"/>
        <v>5.7750000000000004</v>
      </c>
    </row>
    <row r="198" spans="1:15" ht="18" customHeight="1">
      <c r="A198" s="342"/>
      <c r="B198" s="342"/>
      <c r="C198" s="1008" t="s">
        <v>1551</v>
      </c>
      <c r="D198" s="1008"/>
      <c r="E198" s="1008"/>
      <c r="F198" s="1008"/>
      <c r="G198" s="389"/>
      <c r="H198" s="582"/>
      <c r="I198" s="582"/>
      <c r="J198" s="582"/>
      <c r="K198" s="583"/>
      <c r="L198" s="583"/>
      <c r="M198" s="583"/>
      <c r="N198" s="589"/>
      <c r="O198" s="589"/>
    </row>
    <row r="199" spans="1:15" ht="18" customHeight="1">
      <c r="A199" s="342"/>
      <c r="B199" s="342" t="s">
        <v>1552</v>
      </c>
      <c r="C199" s="1027" t="s">
        <v>1553</v>
      </c>
      <c r="D199" s="1027"/>
      <c r="E199" s="1027"/>
      <c r="F199" s="1027"/>
      <c r="G199" s="389"/>
      <c r="H199" s="582"/>
      <c r="I199" s="582">
        <f>0.4+0.1+0.1</f>
        <v>0.6</v>
      </c>
      <c r="J199" s="582"/>
      <c r="K199" s="583">
        <f>0.4+0.1+0.05</f>
        <v>0.55000000000000004</v>
      </c>
      <c r="L199" s="583">
        <f>165.87+1.93+11.83+18.18+5+5+5+6.8+12.17+9.95+1.75+3.9+1.05+26.34+9.6+5.33+2.65+2.65+2.65+1.85+6.98+11.88+25.39+2.4+5.08+4.6+13.14+3.5+6.32+16.96+1.36+12.71+2.55+2.55+2.55+22.65+4.06+2.6+12.84+4.88+4.18+3.5+5+1.6+4.2</f>
        <v>482.97999999999996</v>
      </c>
      <c r="M199" s="583"/>
      <c r="N199" s="589"/>
      <c r="O199" s="589">
        <f>I199*K199*L199</f>
        <v>159.38339999999999</v>
      </c>
    </row>
    <row r="200" spans="1:15" ht="18" customHeight="1">
      <c r="A200" s="342"/>
      <c r="B200" s="342"/>
      <c r="C200" s="1008" t="s">
        <v>1510</v>
      </c>
      <c r="D200" s="1008"/>
      <c r="E200" s="1008"/>
      <c r="F200" s="1008"/>
      <c r="G200" s="389"/>
      <c r="H200" s="582"/>
      <c r="I200" s="582"/>
      <c r="J200" s="582"/>
      <c r="K200" s="583"/>
      <c r="L200" s="583"/>
      <c r="M200" s="583"/>
      <c r="N200" s="589"/>
      <c r="O200" s="589"/>
    </row>
    <row r="201" spans="1:15" ht="18" customHeight="1">
      <c r="A201" s="342"/>
      <c r="B201" s="342"/>
      <c r="C201" s="1027" t="s">
        <v>1554</v>
      </c>
      <c r="D201" s="1027"/>
      <c r="E201" s="1027"/>
      <c r="F201" s="1027"/>
      <c r="G201" s="389" t="s">
        <v>109</v>
      </c>
      <c r="H201" s="582"/>
      <c r="I201" s="582">
        <v>0.5</v>
      </c>
      <c r="J201" s="582">
        <f>SUM(L983:L988)</f>
        <v>253.44289999999995</v>
      </c>
      <c r="K201" s="583">
        <v>0.5</v>
      </c>
      <c r="L201" s="583"/>
      <c r="M201" s="583"/>
      <c r="N201" s="589"/>
      <c r="O201" s="589">
        <f>I201*J201*K201</f>
        <v>63.360724999999988</v>
      </c>
    </row>
    <row r="202" spans="1:15" ht="18" customHeight="1">
      <c r="A202" s="342"/>
      <c r="B202" s="342"/>
      <c r="C202" s="1008" t="s">
        <v>1555</v>
      </c>
      <c r="D202" s="1008"/>
      <c r="E202" s="1008"/>
      <c r="F202" s="1008"/>
      <c r="G202" s="389"/>
      <c r="H202" s="582"/>
      <c r="I202" s="582"/>
      <c r="J202" s="582"/>
      <c r="K202" s="583"/>
      <c r="L202" s="583"/>
      <c r="M202" s="583"/>
      <c r="N202" s="589"/>
      <c r="O202" s="589"/>
    </row>
    <row r="203" spans="1:15" ht="18" customHeight="1">
      <c r="A203" s="342"/>
      <c r="B203" s="342"/>
      <c r="C203" s="1027" t="s">
        <v>1556</v>
      </c>
      <c r="D203" s="1027"/>
      <c r="E203" s="1027"/>
      <c r="F203" s="1027"/>
      <c r="G203" s="389" t="s">
        <v>109</v>
      </c>
      <c r="H203" s="582"/>
      <c r="I203" s="582">
        <v>0.3</v>
      </c>
      <c r="J203" s="582">
        <f>103+45+413.95+224.4</f>
        <v>786.35</v>
      </c>
      <c r="K203" s="583">
        <v>0.4</v>
      </c>
      <c r="L203" s="583"/>
      <c r="M203" s="583"/>
      <c r="N203" s="589"/>
      <c r="O203" s="589">
        <f>I203*J203*K203</f>
        <v>94.362000000000009</v>
      </c>
    </row>
    <row r="204" spans="1:15" ht="18" customHeight="1">
      <c r="A204" s="342"/>
      <c r="B204" s="342"/>
      <c r="C204" s="1027" t="s">
        <v>1557</v>
      </c>
      <c r="D204" s="1027"/>
      <c r="E204" s="1027"/>
      <c r="F204" s="1027"/>
      <c r="G204" s="389" t="s">
        <v>109</v>
      </c>
      <c r="H204" s="582">
        <f>36+25</f>
        <v>61</v>
      </c>
      <c r="I204" s="582">
        <v>0.7</v>
      </c>
      <c r="J204" s="582">
        <v>0.5</v>
      </c>
      <c r="K204" s="583">
        <v>0.7</v>
      </c>
      <c r="L204" s="583"/>
      <c r="M204" s="583"/>
      <c r="N204" s="589"/>
      <c r="O204" s="589">
        <f>I204*J204*K204*H204</f>
        <v>14.944999999999999</v>
      </c>
    </row>
    <row r="205" spans="1:15" ht="18" customHeight="1">
      <c r="A205" s="342"/>
      <c r="B205" s="342"/>
      <c r="C205" s="1008" t="s">
        <v>1558</v>
      </c>
      <c r="D205" s="1008"/>
      <c r="E205" s="1008"/>
      <c r="F205" s="1008"/>
      <c r="G205" s="389"/>
      <c r="H205" s="582"/>
      <c r="I205" s="582"/>
      <c r="J205" s="582"/>
      <c r="K205" s="583"/>
      <c r="L205" s="583"/>
      <c r="M205" s="583"/>
      <c r="N205" s="589"/>
      <c r="O205" s="589"/>
    </row>
    <row r="206" spans="1:15" ht="18" customHeight="1">
      <c r="A206" s="342"/>
      <c r="B206" s="342"/>
      <c r="C206" s="1027" t="s">
        <v>1559</v>
      </c>
      <c r="D206" s="1027"/>
      <c r="E206" s="1027"/>
      <c r="F206" s="1027"/>
      <c r="G206" s="389" t="s">
        <v>109</v>
      </c>
      <c r="H206" s="582"/>
      <c r="I206" s="582">
        <v>2.5</v>
      </c>
      <c r="J206" s="582">
        <v>6</v>
      </c>
      <c r="K206" s="583">
        <f>0.5+1.7+0.15</f>
        <v>2.35</v>
      </c>
      <c r="L206" s="583"/>
      <c r="M206" s="583"/>
      <c r="N206" s="589"/>
      <c r="O206" s="589">
        <f>I206*J206*K206</f>
        <v>35.25</v>
      </c>
    </row>
    <row r="207" spans="1:15" ht="18" customHeight="1">
      <c r="A207" s="342"/>
      <c r="B207" s="342"/>
      <c r="C207" s="1027" t="s">
        <v>1560</v>
      </c>
      <c r="D207" s="1027"/>
      <c r="E207" s="1027"/>
      <c r="F207" s="1027"/>
      <c r="G207" s="389" t="s">
        <v>109</v>
      </c>
      <c r="H207" s="582"/>
      <c r="I207" s="582">
        <v>1.5</v>
      </c>
      <c r="J207" s="582">
        <v>1.8</v>
      </c>
      <c r="K207" s="583">
        <v>0.6</v>
      </c>
      <c r="L207" s="583"/>
      <c r="M207" s="583"/>
      <c r="N207" s="589"/>
      <c r="O207" s="589">
        <f>I207*J207*K207</f>
        <v>1.62</v>
      </c>
    </row>
    <row r="208" spans="1:15" ht="18" customHeight="1">
      <c r="A208" s="342"/>
      <c r="B208" s="342"/>
      <c r="C208" s="1008" t="s">
        <v>1561</v>
      </c>
      <c r="D208" s="1008"/>
      <c r="E208" s="1008"/>
      <c r="F208" s="1008"/>
      <c r="G208" s="389"/>
      <c r="H208" s="582"/>
      <c r="I208" s="582"/>
      <c r="J208" s="582"/>
      <c r="K208" s="583"/>
      <c r="L208" s="583"/>
      <c r="M208" s="583"/>
      <c r="N208" s="589"/>
      <c r="O208" s="589"/>
    </row>
    <row r="209" spans="1:15" ht="18" customHeight="1">
      <c r="A209" s="342"/>
      <c r="B209" s="342"/>
      <c r="C209" s="1027" t="s">
        <v>1562</v>
      </c>
      <c r="D209" s="1027"/>
      <c r="E209" s="1027"/>
      <c r="F209" s="1027"/>
      <c r="G209" s="389" t="s">
        <v>109</v>
      </c>
      <c r="H209" s="582">
        <v>4</v>
      </c>
      <c r="I209" s="582"/>
      <c r="J209" s="582"/>
      <c r="K209" s="583">
        <v>18</v>
      </c>
      <c r="L209" s="583"/>
      <c r="M209" s="583"/>
      <c r="N209" s="589">
        <f>0.65*0.65*3.14</f>
        <v>1.3266500000000001</v>
      </c>
      <c r="O209" s="589">
        <f>N209*K209*H209</f>
        <v>95.518800000000013</v>
      </c>
    </row>
    <row r="210" spans="1:15" ht="18" customHeight="1">
      <c r="A210" s="342"/>
      <c r="B210" s="342"/>
      <c r="C210" s="1027" t="s">
        <v>1563</v>
      </c>
      <c r="D210" s="1027"/>
      <c r="E210" s="1027"/>
      <c r="F210" s="1027"/>
      <c r="G210" s="389" t="s">
        <v>109</v>
      </c>
      <c r="H210" s="582"/>
      <c r="I210" s="582">
        <v>2.2000000000000002</v>
      </c>
      <c r="J210" s="582">
        <v>3.9</v>
      </c>
      <c r="K210" s="583">
        <v>3.45</v>
      </c>
      <c r="L210" s="583"/>
      <c r="M210" s="583"/>
      <c r="N210" s="589"/>
      <c r="O210" s="589">
        <f>I210*J210*K210</f>
        <v>29.601000000000003</v>
      </c>
    </row>
    <row r="211" spans="1:15" ht="18" customHeight="1">
      <c r="A211" s="342"/>
      <c r="B211" s="342"/>
      <c r="C211" s="1027" t="s">
        <v>1564</v>
      </c>
      <c r="D211" s="1027"/>
      <c r="E211" s="1027"/>
      <c r="F211" s="1027"/>
      <c r="G211" s="389" t="s">
        <v>109</v>
      </c>
      <c r="H211" s="582"/>
      <c r="I211" s="588">
        <v>1.85</v>
      </c>
      <c r="J211" s="582">
        <v>1.85</v>
      </c>
      <c r="K211" s="583">
        <v>3.75</v>
      </c>
      <c r="L211" s="583"/>
      <c r="M211" s="583"/>
      <c r="N211" s="589"/>
      <c r="O211" s="589">
        <f>I211*J211*K211</f>
        <v>12.834375000000001</v>
      </c>
    </row>
    <row r="212" spans="1:15" s="109" customFormat="1" ht="15" customHeight="1">
      <c r="A212" s="342"/>
      <c r="B212" s="342"/>
      <c r="C212" s="1002"/>
      <c r="D212" s="1002"/>
      <c r="E212" s="1002"/>
      <c r="F212" s="1002"/>
      <c r="G212" s="389"/>
      <c r="H212" s="582"/>
      <c r="I212" s="588"/>
      <c r="J212" s="582"/>
      <c r="K212" s="583"/>
      <c r="L212" s="583"/>
      <c r="M212" s="583"/>
      <c r="N212" s="589"/>
      <c r="O212" s="589"/>
    </row>
    <row r="213" spans="1:15" s="109" customFormat="1" ht="19.899999999999999" customHeight="1">
      <c r="A213" s="376"/>
      <c r="B213" s="376" t="str">
        <f>ORÇAMENTO!C60</f>
        <v>3.02</v>
      </c>
      <c r="C213" s="1066" t="str">
        <f>ORÇAMENTO!D60</f>
        <v>CORTE, ATERRO E REATERRO</v>
      </c>
      <c r="D213" s="1066"/>
      <c r="E213" s="1066"/>
      <c r="F213" s="1066"/>
      <c r="G213" s="1039"/>
      <c r="H213" s="1039"/>
      <c r="I213" s="1039"/>
      <c r="J213" s="1039"/>
      <c r="K213" s="1039"/>
      <c r="L213" s="1039"/>
      <c r="M213" s="1039"/>
      <c r="N213" s="1039"/>
      <c r="O213" s="1039"/>
    </row>
    <row r="214" spans="1:15" s="109" customFormat="1" ht="19.899999999999999" customHeight="1">
      <c r="A214" s="377">
        <f>ORÇAMENTO!A61</f>
        <v>96995</v>
      </c>
      <c r="B214" s="377" t="str">
        <f>ORÇAMENTO!C61</f>
        <v>3.02.01</v>
      </c>
      <c r="C214" s="1047" t="str">
        <f>ORÇAMENTO!D61</f>
        <v>REATERRO MANUAL APILOADO COM SOQUETE. AF_10/2017</v>
      </c>
      <c r="D214" s="1047"/>
      <c r="E214" s="1047"/>
      <c r="F214" s="1047"/>
      <c r="G214" s="377" t="str">
        <f>ORÇAMENTO!E61</f>
        <v>M³</v>
      </c>
      <c r="H214" s="380"/>
      <c r="I214" s="387"/>
      <c r="J214" s="380"/>
      <c r="K214" s="388"/>
      <c r="L214" s="380"/>
      <c r="M214" s="379"/>
      <c r="N214" s="380"/>
      <c r="O214" s="380">
        <f>SUM(O215:O240)</f>
        <v>55.245517499999998</v>
      </c>
    </row>
    <row r="215" spans="1:15" s="109" customFormat="1" ht="19.899999999999999" customHeight="1">
      <c r="A215" s="376"/>
      <c r="B215" s="342"/>
      <c r="C215" s="1096" t="s">
        <v>1530</v>
      </c>
      <c r="D215" s="1096"/>
      <c r="E215" s="1096"/>
      <c r="F215" s="1096"/>
      <c r="G215" s="389"/>
      <c r="H215" s="582"/>
      <c r="I215" s="588"/>
      <c r="J215" s="582"/>
      <c r="K215" s="583"/>
      <c r="L215" s="583"/>
      <c r="M215" s="583"/>
      <c r="N215" s="589"/>
      <c r="O215" s="589"/>
    </row>
    <row r="216" spans="1:15" s="109" customFormat="1" ht="39" customHeight="1">
      <c r="A216" s="376"/>
      <c r="B216" s="342" t="s">
        <v>1531</v>
      </c>
      <c r="C216" s="1024" t="s">
        <v>1532</v>
      </c>
      <c r="D216" s="1024"/>
      <c r="E216" s="1024"/>
      <c r="F216" s="1024"/>
      <c r="G216" s="389" t="s">
        <v>109</v>
      </c>
      <c r="H216" s="582">
        <v>28</v>
      </c>
      <c r="I216" s="588"/>
      <c r="J216" s="582"/>
      <c r="K216" s="583">
        <v>0.45</v>
      </c>
      <c r="L216" s="583"/>
      <c r="M216" s="583"/>
      <c r="N216" s="589">
        <f>(0.6+0.1)*(0.6+0.1)</f>
        <v>0.48999999999999994</v>
      </c>
      <c r="O216" s="589">
        <f>N216*K216*H216*0.1</f>
        <v>0.61739999999999995</v>
      </c>
    </row>
    <row r="217" spans="1:15" s="109" customFormat="1" ht="38.25" customHeight="1">
      <c r="A217" s="376"/>
      <c r="B217" s="342" t="s">
        <v>1533</v>
      </c>
      <c r="C217" s="1024" t="s">
        <v>1534</v>
      </c>
      <c r="D217" s="1024"/>
      <c r="E217" s="1024"/>
      <c r="F217" s="1024"/>
      <c r="G217" s="389" t="s">
        <v>109</v>
      </c>
      <c r="H217" s="582">
        <v>20</v>
      </c>
      <c r="I217" s="588"/>
      <c r="J217" s="582"/>
      <c r="K217" s="583">
        <v>0.45</v>
      </c>
      <c r="L217" s="583"/>
      <c r="M217" s="583"/>
      <c r="N217" s="589">
        <f>(0.7+0.1)*(0.7+0.1)</f>
        <v>0.6399999999999999</v>
      </c>
      <c r="O217" s="589">
        <f>N217*K217*H217*0.1</f>
        <v>0.57599999999999996</v>
      </c>
    </row>
    <row r="218" spans="1:15" s="109" customFormat="1" ht="19.899999999999999" customHeight="1">
      <c r="A218" s="376"/>
      <c r="B218" s="342" t="s">
        <v>1535</v>
      </c>
      <c r="C218" s="1024" t="s">
        <v>1536</v>
      </c>
      <c r="D218" s="1024"/>
      <c r="E218" s="1024"/>
      <c r="F218" s="1024"/>
      <c r="G218" s="389" t="s">
        <v>109</v>
      </c>
      <c r="H218" s="582">
        <v>10</v>
      </c>
      <c r="I218" s="588"/>
      <c r="J218" s="582"/>
      <c r="K218" s="583">
        <v>0.45</v>
      </c>
      <c r="L218" s="583"/>
      <c r="M218" s="583"/>
      <c r="N218" s="589">
        <f>(0.8+0.1)*(0.8+0.1)</f>
        <v>0.81</v>
      </c>
      <c r="O218" s="589">
        <f>N218*K218*H218*0.15</f>
        <v>0.54675000000000007</v>
      </c>
    </row>
    <row r="219" spans="1:15" s="109" customFormat="1" ht="19.899999999999999" customHeight="1">
      <c r="A219" s="376"/>
      <c r="B219" s="342" t="s">
        <v>1537</v>
      </c>
      <c r="C219" s="1024" t="s">
        <v>1538</v>
      </c>
      <c r="D219" s="1024"/>
      <c r="E219" s="1024"/>
      <c r="F219" s="1024"/>
      <c r="G219" s="389" t="s">
        <v>109</v>
      </c>
      <c r="H219" s="582">
        <v>6</v>
      </c>
      <c r="I219" s="588"/>
      <c r="J219" s="582"/>
      <c r="K219" s="583">
        <v>0.45</v>
      </c>
      <c r="L219" s="583"/>
      <c r="M219" s="583"/>
      <c r="N219" s="589">
        <f>(0.9+0.1)*(0.9+0.1)</f>
        <v>1</v>
      </c>
      <c r="O219" s="589">
        <f>N219*K219*H219*0.1</f>
        <v>0.27</v>
      </c>
    </row>
    <row r="220" spans="1:15" s="109" customFormat="1" ht="19.899999999999999" customHeight="1">
      <c r="A220" s="376"/>
      <c r="B220" s="342" t="s">
        <v>1539</v>
      </c>
      <c r="C220" s="1024" t="s">
        <v>1540</v>
      </c>
      <c r="D220" s="1024"/>
      <c r="E220" s="1024"/>
      <c r="F220" s="1024"/>
      <c r="G220" s="389" t="s">
        <v>109</v>
      </c>
      <c r="H220" s="582">
        <v>6</v>
      </c>
      <c r="I220" s="588"/>
      <c r="J220" s="582"/>
      <c r="K220" s="583">
        <v>0.45</v>
      </c>
      <c r="L220" s="583"/>
      <c r="M220" s="583"/>
      <c r="N220" s="589">
        <f>(1.1+0.1)*(1.1+0.1)</f>
        <v>1.4400000000000004</v>
      </c>
      <c r="O220" s="589">
        <f>N220*K220*H220*0.1</f>
        <v>0.3888000000000002</v>
      </c>
    </row>
    <row r="221" spans="1:15" s="109" customFormat="1" ht="19.899999999999999" customHeight="1">
      <c r="A221" s="376"/>
      <c r="B221" s="342" t="s">
        <v>1541</v>
      </c>
      <c r="C221" s="1024" t="s">
        <v>1542</v>
      </c>
      <c r="D221" s="1024"/>
      <c r="E221" s="1024"/>
      <c r="F221" s="1024"/>
      <c r="G221" s="389" t="s">
        <v>109</v>
      </c>
      <c r="H221" s="582">
        <v>1</v>
      </c>
      <c r="I221" s="588"/>
      <c r="J221" s="582"/>
      <c r="K221" s="583">
        <v>0.45</v>
      </c>
      <c r="L221" s="583"/>
      <c r="M221" s="583"/>
      <c r="N221" s="589">
        <f>(1.7+0.1)*(1.7+0.1)</f>
        <v>3.24</v>
      </c>
      <c r="O221" s="589">
        <f>N221*K221*H221*0.1</f>
        <v>0.14580000000000001</v>
      </c>
    </row>
    <row r="222" spans="1:15" s="109" customFormat="1" ht="19.899999999999999" customHeight="1">
      <c r="A222" s="376"/>
      <c r="B222" s="342" t="s">
        <v>1543</v>
      </c>
      <c r="C222" s="1024" t="s">
        <v>1544</v>
      </c>
      <c r="D222" s="1024"/>
      <c r="E222" s="1024"/>
      <c r="F222" s="1024"/>
      <c r="G222" s="389" t="s">
        <v>109</v>
      </c>
      <c r="H222" s="582">
        <v>1</v>
      </c>
      <c r="I222" s="582"/>
      <c r="J222" s="582"/>
      <c r="K222" s="583">
        <v>0.45</v>
      </c>
      <c r="L222" s="583"/>
      <c r="M222" s="583"/>
      <c r="N222" s="589">
        <f>(1.85+0.1)*(1.85+0.1)</f>
        <v>3.8025000000000007</v>
      </c>
      <c r="O222" s="589">
        <f>N222*K222*H222*0.1</f>
        <v>0.17111250000000003</v>
      </c>
    </row>
    <row r="223" spans="1:15" s="109" customFormat="1" ht="19.899999999999999" customHeight="1">
      <c r="A223" s="376"/>
      <c r="B223" s="342" t="s">
        <v>1545</v>
      </c>
      <c r="C223" s="1024" t="s">
        <v>1546</v>
      </c>
      <c r="D223" s="1024"/>
      <c r="E223" s="1024"/>
      <c r="F223" s="1024"/>
      <c r="G223" s="389" t="s">
        <v>109</v>
      </c>
      <c r="H223" s="582">
        <v>1</v>
      </c>
      <c r="I223" s="582"/>
      <c r="J223" s="582"/>
      <c r="K223" s="583">
        <v>0.45</v>
      </c>
      <c r="L223" s="583"/>
      <c r="M223" s="583"/>
      <c r="N223" s="589">
        <f>(1.35+0.1)*(1.35+0.1)</f>
        <v>2.1025000000000005</v>
      </c>
      <c r="O223" s="589">
        <f t="shared" ref="O223" si="6">N223*K223*H223</f>
        <v>0.94612500000000022</v>
      </c>
    </row>
    <row r="224" spans="1:15" s="109" customFormat="1" ht="19.899999999999999" customHeight="1">
      <c r="A224" s="376"/>
      <c r="B224" s="342"/>
      <c r="C224" s="1008" t="s">
        <v>1547</v>
      </c>
      <c r="D224" s="1008"/>
      <c r="E224" s="1008"/>
      <c r="F224" s="1008"/>
      <c r="G224" s="389"/>
      <c r="H224" s="582"/>
      <c r="I224" s="582"/>
      <c r="J224" s="582"/>
      <c r="K224" s="583"/>
      <c r="L224" s="583"/>
      <c r="M224" s="583"/>
      <c r="N224" s="589"/>
      <c r="O224" s="589"/>
    </row>
    <row r="225" spans="1:21" s="109" customFormat="1" ht="19.899999999999999" customHeight="1">
      <c r="A225" s="376"/>
      <c r="B225" s="342" t="s">
        <v>1533</v>
      </c>
      <c r="C225" s="1027" t="s">
        <v>1548</v>
      </c>
      <c r="D225" s="1027"/>
      <c r="E225" s="1027"/>
      <c r="F225" s="1027"/>
      <c r="G225" s="389" t="s">
        <v>109</v>
      </c>
      <c r="H225" s="582">
        <v>1</v>
      </c>
      <c r="I225" s="582"/>
      <c r="J225" s="582"/>
      <c r="K225" s="583">
        <v>0.65</v>
      </c>
      <c r="L225" s="583"/>
      <c r="M225" s="583"/>
      <c r="N225" s="589">
        <f>(0.6+0.1)*(0.6+0.1)</f>
        <v>0.48999999999999994</v>
      </c>
      <c r="O225" s="589">
        <f t="shared" ref="O225" si="7">N225*K225*H225</f>
        <v>0.31849999999999995</v>
      </c>
    </row>
    <row r="226" spans="1:21" s="109" customFormat="1" ht="19.899999999999999" customHeight="1">
      <c r="A226" s="376"/>
      <c r="B226" s="342" t="s">
        <v>1549</v>
      </c>
      <c r="C226" s="1027" t="s">
        <v>1550</v>
      </c>
      <c r="D226" s="1027"/>
      <c r="E226" s="1027"/>
      <c r="F226" s="1027"/>
      <c r="G226" s="389" t="s">
        <v>109</v>
      </c>
      <c r="H226" s="582">
        <v>5</v>
      </c>
      <c r="I226" s="582"/>
      <c r="J226" s="582"/>
      <c r="K226" s="583">
        <v>0.7</v>
      </c>
      <c r="L226" s="583"/>
      <c r="M226" s="583"/>
      <c r="N226" s="589">
        <f>(1+0.1)*(1.4+0.1)</f>
        <v>1.6500000000000001</v>
      </c>
      <c r="O226" s="589">
        <f>N226*K226*H226*0.1</f>
        <v>0.57750000000000001</v>
      </c>
    </row>
    <row r="227" spans="1:21" s="109" customFormat="1" ht="19.899999999999999" customHeight="1">
      <c r="A227" s="376"/>
      <c r="B227" s="342"/>
      <c r="C227" s="1008" t="s">
        <v>1551</v>
      </c>
      <c r="D227" s="1008"/>
      <c r="E227" s="1008"/>
      <c r="F227" s="1008"/>
      <c r="G227" s="389"/>
      <c r="H227" s="582"/>
      <c r="I227" s="582"/>
      <c r="J227" s="582"/>
      <c r="K227" s="583"/>
      <c r="L227" s="583"/>
      <c r="M227" s="583"/>
      <c r="N227" s="589"/>
      <c r="O227" s="589"/>
    </row>
    <row r="228" spans="1:21" s="109" customFormat="1" ht="19.899999999999999" customHeight="1">
      <c r="A228" s="376"/>
      <c r="B228" s="342" t="s">
        <v>1552</v>
      </c>
      <c r="C228" s="1027" t="s">
        <v>1553</v>
      </c>
      <c r="D228" s="1027"/>
      <c r="E228" s="1027"/>
      <c r="F228" s="1027"/>
      <c r="G228" s="389"/>
      <c r="H228" s="582"/>
      <c r="I228" s="582">
        <f>0.4+0.1+0.1</f>
        <v>0.6</v>
      </c>
      <c r="J228" s="582"/>
      <c r="K228" s="583">
        <f>0.4+0.1+0.05</f>
        <v>0.55000000000000004</v>
      </c>
      <c r="L228" s="583">
        <f>165.87+1.93+11.83+18.18+5+5+5+6.8+12.17+9.95+1.75+3.9+1.05+26.34+9.6+5.33+2.65+2.65+2.65+1.85+6.98+11.88+25.39+2.4+5.08+4.6+13.14+3.5+6.32+16.96+1.36+12.71+2.55+2.55+2.55+22.65+4.06+2.6+12.84+4.88+4.18+3.5+5+1.6+4.2</f>
        <v>482.97999999999996</v>
      </c>
      <c r="M228" s="583"/>
      <c r="N228" s="589"/>
      <c r="O228" s="589">
        <f>I228*K228*L228*0.1</f>
        <v>15.93834</v>
      </c>
    </row>
    <row r="229" spans="1:21" s="109" customFormat="1" ht="19.899999999999999" customHeight="1">
      <c r="A229" s="376"/>
      <c r="B229" s="342"/>
      <c r="C229" s="1008" t="s">
        <v>1510</v>
      </c>
      <c r="D229" s="1008"/>
      <c r="E229" s="1008"/>
      <c r="F229" s="1008"/>
      <c r="G229" s="389"/>
      <c r="H229" s="582"/>
      <c r="I229" s="582"/>
      <c r="J229" s="582"/>
      <c r="K229" s="583"/>
      <c r="L229" s="583"/>
      <c r="M229" s="583"/>
      <c r="N229" s="589"/>
      <c r="O229" s="589"/>
    </row>
    <row r="230" spans="1:21" s="109" customFormat="1" ht="19.899999999999999" customHeight="1">
      <c r="A230" s="376"/>
      <c r="B230" s="342"/>
      <c r="C230" s="1027" t="s">
        <v>1554</v>
      </c>
      <c r="D230" s="1027"/>
      <c r="E230" s="1027"/>
      <c r="F230" s="1027"/>
      <c r="G230" s="389" t="s">
        <v>109</v>
      </c>
      <c r="H230" s="582"/>
      <c r="I230" s="582">
        <v>0.5</v>
      </c>
      <c r="J230" s="582">
        <v>253.44289999999995</v>
      </c>
      <c r="K230" s="583">
        <v>0.5</v>
      </c>
      <c r="L230" s="583"/>
      <c r="M230" s="583"/>
      <c r="N230" s="589"/>
      <c r="O230" s="589">
        <f>I230*J230*K230*0.1</f>
        <v>6.3360724999999993</v>
      </c>
      <c r="R230" s="1026"/>
      <c r="S230" s="1026"/>
      <c r="T230" s="1026"/>
      <c r="U230" s="1026"/>
    </row>
    <row r="231" spans="1:21" s="109" customFormat="1" ht="19.899999999999999" customHeight="1">
      <c r="A231" s="376"/>
      <c r="B231" s="342"/>
      <c r="C231" s="1008" t="s">
        <v>1555</v>
      </c>
      <c r="D231" s="1008"/>
      <c r="E231" s="1008"/>
      <c r="F231" s="1008"/>
      <c r="G231" s="389"/>
      <c r="H231" s="582"/>
      <c r="I231" s="582"/>
      <c r="J231" s="582"/>
      <c r="K231" s="583"/>
      <c r="L231" s="583"/>
      <c r="M231" s="583"/>
      <c r="N231" s="589"/>
      <c r="O231" s="589"/>
      <c r="R231" s="1026"/>
      <c r="S231" s="1026"/>
      <c r="T231" s="1026"/>
      <c r="U231" s="1026"/>
    </row>
    <row r="232" spans="1:21" s="109" customFormat="1" ht="19.899999999999999" customHeight="1">
      <c r="A232" s="376"/>
      <c r="B232" s="342"/>
      <c r="C232" s="1027" t="s">
        <v>1556</v>
      </c>
      <c r="D232" s="1027"/>
      <c r="E232" s="1027"/>
      <c r="F232" s="1027"/>
      <c r="G232" s="389" t="s">
        <v>109</v>
      </c>
      <c r="H232" s="582"/>
      <c r="I232" s="582">
        <v>0.3</v>
      </c>
      <c r="J232" s="582">
        <f>103+45+413.95+224.4</f>
        <v>786.35</v>
      </c>
      <c r="K232" s="583">
        <v>0.4</v>
      </c>
      <c r="L232" s="583"/>
      <c r="M232" s="583"/>
      <c r="N232" s="589"/>
      <c r="O232" s="589">
        <f>I232*J232*K232*0.1</f>
        <v>9.4362000000000013</v>
      </c>
      <c r="R232" s="1026"/>
      <c r="S232" s="1026"/>
      <c r="T232" s="1026"/>
      <c r="U232" s="1026"/>
    </row>
    <row r="233" spans="1:21" s="109" customFormat="1" ht="19.899999999999999" customHeight="1">
      <c r="A233" s="376"/>
      <c r="B233" s="342"/>
      <c r="C233" s="1027" t="s">
        <v>1557</v>
      </c>
      <c r="D233" s="1027"/>
      <c r="E233" s="1027"/>
      <c r="F233" s="1027"/>
      <c r="G233" s="389" t="s">
        <v>109</v>
      </c>
      <c r="H233" s="582">
        <f>36+25</f>
        <v>61</v>
      </c>
      <c r="I233" s="582">
        <v>0.7</v>
      </c>
      <c r="J233" s="582">
        <v>0.5</v>
      </c>
      <c r="K233" s="583">
        <v>0.7</v>
      </c>
      <c r="L233" s="583"/>
      <c r="M233" s="583"/>
      <c r="N233" s="589"/>
      <c r="O233" s="589">
        <f>I233*J233*K233*H233*0.1</f>
        <v>1.4944999999999999</v>
      </c>
      <c r="R233" s="1026"/>
      <c r="S233" s="1026"/>
      <c r="T233" s="1026"/>
      <c r="U233" s="1026"/>
    </row>
    <row r="234" spans="1:21" s="109" customFormat="1" ht="19.899999999999999" customHeight="1">
      <c r="A234" s="376"/>
      <c r="B234" s="342"/>
      <c r="C234" s="1008" t="s">
        <v>1558</v>
      </c>
      <c r="D234" s="1008"/>
      <c r="E234" s="1008"/>
      <c r="F234" s="1008"/>
      <c r="G234" s="389"/>
      <c r="H234" s="582"/>
      <c r="I234" s="582"/>
      <c r="J234" s="582"/>
      <c r="K234" s="583"/>
      <c r="L234" s="583"/>
      <c r="M234" s="583"/>
      <c r="N234" s="589"/>
      <c r="O234" s="589"/>
      <c r="R234" s="1026"/>
      <c r="S234" s="1026"/>
      <c r="T234" s="1026"/>
      <c r="U234" s="1026"/>
    </row>
    <row r="235" spans="1:21" s="109" customFormat="1" ht="19.899999999999999" customHeight="1">
      <c r="A235" s="376"/>
      <c r="B235" s="342"/>
      <c r="C235" s="1027" t="s">
        <v>1559</v>
      </c>
      <c r="D235" s="1027"/>
      <c r="E235" s="1027"/>
      <c r="F235" s="1027"/>
      <c r="G235" s="389" t="s">
        <v>109</v>
      </c>
      <c r="H235" s="582"/>
      <c r="I235" s="582">
        <v>2.5</v>
      </c>
      <c r="J235" s="582">
        <v>6</v>
      </c>
      <c r="K235" s="583">
        <f>0.5+1.7+0.15</f>
        <v>2.35</v>
      </c>
      <c r="L235" s="583"/>
      <c r="M235" s="583"/>
      <c r="N235" s="589"/>
      <c r="O235" s="589">
        <f>I235*J235*K235*0.1</f>
        <v>3.5250000000000004</v>
      </c>
    </row>
    <row r="236" spans="1:21" s="109" customFormat="1" ht="19.899999999999999" customHeight="1">
      <c r="A236" s="376"/>
      <c r="B236" s="342"/>
      <c r="C236" s="1027" t="s">
        <v>1560</v>
      </c>
      <c r="D236" s="1027"/>
      <c r="E236" s="1027"/>
      <c r="F236" s="1027"/>
      <c r="G236" s="389" t="s">
        <v>109</v>
      </c>
      <c r="H236" s="582"/>
      <c r="I236" s="582">
        <v>1.5</v>
      </c>
      <c r="J236" s="582">
        <v>1.8</v>
      </c>
      <c r="K236" s="583">
        <v>0.6</v>
      </c>
      <c r="L236" s="583"/>
      <c r="M236" s="583"/>
      <c r="N236" s="589"/>
      <c r="O236" s="589">
        <f>I236*J236*K236*0.1</f>
        <v>0.16200000000000003</v>
      </c>
    </row>
    <row r="237" spans="1:21" s="109" customFormat="1" ht="19.899999999999999" customHeight="1">
      <c r="A237" s="376"/>
      <c r="B237" s="342"/>
      <c r="C237" s="1008" t="s">
        <v>1561</v>
      </c>
      <c r="D237" s="1008"/>
      <c r="E237" s="1008"/>
      <c r="F237" s="1008"/>
      <c r="G237" s="389"/>
      <c r="H237" s="582"/>
      <c r="I237" s="582"/>
      <c r="J237" s="582"/>
      <c r="K237" s="583"/>
      <c r="L237" s="583"/>
      <c r="M237" s="583"/>
      <c r="N237" s="589"/>
      <c r="O237" s="589"/>
    </row>
    <row r="238" spans="1:21" s="109" customFormat="1" ht="19.899999999999999" customHeight="1">
      <c r="A238" s="376"/>
      <c r="B238" s="342"/>
      <c r="C238" s="1027" t="s">
        <v>1562</v>
      </c>
      <c r="D238" s="1027"/>
      <c r="E238" s="1027"/>
      <c r="F238" s="1027"/>
      <c r="G238" s="389" t="s">
        <v>109</v>
      </c>
      <c r="H238" s="582">
        <v>4</v>
      </c>
      <c r="I238" s="582"/>
      <c r="J238" s="582"/>
      <c r="K238" s="583">
        <v>18</v>
      </c>
      <c r="L238" s="583"/>
      <c r="M238" s="583"/>
      <c r="N238" s="589">
        <f>0.65*0.65*3.14</f>
        <v>1.3266500000000001</v>
      </c>
      <c r="O238" s="589">
        <f>N238*K238*H238*0.1</f>
        <v>9.5518800000000024</v>
      </c>
    </row>
    <row r="239" spans="1:21" s="109" customFormat="1" ht="19.899999999999999" customHeight="1">
      <c r="A239" s="376"/>
      <c r="B239" s="342"/>
      <c r="C239" s="1027" t="s">
        <v>1563</v>
      </c>
      <c r="D239" s="1027"/>
      <c r="E239" s="1027"/>
      <c r="F239" s="1027"/>
      <c r="G239" s="389" t="s">
        <v>109</v>
      </c>
      <c r="H239" s="582"/>
      <c r="I239" s="582">
        <v>2.2000000000000002</v>
      </c>
      <c r="J239" s="582">
        <v>3.9</v>
      </c>
      <c r="K239" s="583">
        <v>3.45</v>
      </c>
      <c r="L239" s="583"/>
      <c r="M239" s="583"/>
      <c r="N239" s="589"/>
      <c r="O239" s="589">
        <f>I239*J239*K239*0.1</f>
        <v>2.9601000000000006</v>
      </c>
    </row>
    <row r="240" spans="1:21" s="109" customFormat="1" ht="19.899999999999999" customHeight="1">
      <c r="A240" s="376"/>
      <c r="B240" s="342"/>
      <c r="C240" s="1027" t="s">
        <v>1564</v>
      </c>
      <c r="D240" s="1027"/>
      <c r="E240" s="1027"/>
      <c r="F240" s="1027"/>
      <c r="G240" s="389" t="s">
        <v>109</v>
      </c>
      <c r="H240" s="582"/>
      <c r="I240" s="588">
        <v>1.85</v>
      </c>
      <c r="J240" s="582">
        <v>1.85</v>
      </c>
      <c r="K240" s="583">
        <v>3.75</v>
      </c>
      <c r="L240" s="583"/>
      <c r="M240" s="583"/>
      <c r="N240" s="589"/>
      <c r="O240" s="589">
        <f>I240*J240*K240*0.1</f>
        <v>1.2834375000000002</v>
      </c>
    </row>
    <row r="241" spans="1:15" s="109" customFormat="1" ht="34.5" customHeight="1">
      <c r="A241" s="377">
        <f>ORÇAMENTO!A62</f>
        <v>2506</v>
      </c>
      <c r="B241" s="377" t="str">
        <f>ORÇAMENTO!C62</f>
        <v>3.02.02</v>
      </c>
      <c r="C241" s="1047" t="str">
        <f>ORÇAMENTO!D62</f>
        <v>ESCAVAÇÃO COM RETRO-ESCAVADEIRA DE PNEUS, DE VALAS, EM MATERIAL DE 2ª CATEGORIA ATÉ 1,50M DE PROFUNDIDADE - CORTE</v>
      </c>
      <c r="D241" s="1047"/>
      <c r="E241" s="1047"/>
      <c r="F241" s="1047"/>
      <c r="G241" s="377" t="str">
        <f>ORÇAMENTO!E62</f>
        <v>M³</v>
      </c>
      <c r="H241" s="380"/>
      <c r="I241" s="387"/>
      <c r="J241" s="380"/>
      <c r="K241" s="388"/>
      <c r="L241" s="380"/>
      <c r="M241" s="379"/>
      <c r="N241" s="380"/>
      <c r="O241" s="380">
        <f>SUM(O242:O242)</f>
        <v>812.59</v>
      </c>
    </row>
    <row r="242" spans="1:15" s="109" customFormat="1" ht="19.899999999999999" customHeight="1">
      <c r="A242" s="342"/>
      <c r="B242" s="342"/>
      <c r="C242" s="1000" t="s">
        <v>1565</v>
      </c>
      <c r="D242" s="1000"/>
      <c r="E242" s="1000"/>
      <c r="F242" s="1000"/>
      <c r="G242" s="389" t="s">
        <v>109</v>
      </c>
      <c r="H242" s="582"/>
      <c r="I242" s="588"/>
      <c r="J242" s="582"/>
      <c r="K242" s="583"/>
      <c r="L242" s="583"/>
      <c r="M242" s="583"/>
      <c r="N242" s="589"/>
      <c r="O242" s="583">
        <v>812.59</v>
      </c>
    </row>
    <row r="243" spans="1:15" s="109" customFormat="1" ht="37.5" customHeight="1">
      <c r="A243" s="377">
        <f>ORÇAMENTO!A63</f>
        <v>77</v>
      </c>
      <c r="B243" s="377" t="str">
        <f>ORÇAMENTO!C63</f>
        <v>3.02.03</v>
      </c>
      <c r="C243" s="1071" t="str">
        <f>ORÇAMENTO!D63</f>
        <v>ATERRO DE CAIXÃO DE EDIIFICAÇÃO, COM FORNEC. DE AREIA, ADENSADA COM ÁGUA</v>
      </c>
      <c r="D243" s="1071"/>
      <c r="E243" s="1071"/>
      <c r="F243" s="1071"/>
      <c r="G243" s="377" t="str">
        <f>ORÇAMENTO!E63</f>
        <v>M³</v>
      </c>
      <c r="H243" s="380"/>
      <c r="I243" s="387"/>
      <c r="J243" s="380"/>
      <c r="K243" s="388"/>
      <c r="L243" s="380"/>
      <c r="M243" s="379"/>
      <c r="N243" s="380"/>
      <c r="O243" s="380">
        <f>SUM(O245:O252)*(1+O244)</f>
        <v>1170.5374999999999</v>
      </c>
    </row>
    <row r="244" spans="1:15" s="109" customFormat="1">
      <c r="A244" s="342"/>
      <c r="B244" s="342"/>
      <c r="C244" s="1000" t="s">
        <v>1566</v>
      </c>
      <c r="D244" s="1000"/>
      <c r="E244" s="1000"/>
      <c r="F244" s="1000"/>
      <c r="G244" s="389"/>
      <c r="H244" s="582"/>
      <c r="I244" s="588"/>
      <c r="J244" s="582"/>
      <c r="K244" s="583"/>
      <c r="L244" s="583"/>
      <c r="M244" s="583"/>
      <c r="N244" s="589"/>
      <c r="O244" s="865">
        <v>0.25</v>
      </c>
    </row>
    <row r="245" spans="1:15" s="109" customFormat="1" ht="15" customHeight="1">
      <c r="A245" s="342"/>
      <c r="B245" s="342"/>
      <c r="C245" s="1000" t="s">
        <v>1567</v>
      </c>
      <c r="D245" s="1000"/>
      <c r="E245" s="1000"/>
      <c r="F245" s="1000"/>
      <c r="G245" s="389"/>
      <c r="H245" s="582"/>
      <c r="I245" s="588"/>
      <c r="J245" s="582"/>
      <c r="K245" s="583"/>
      <c r="L245" s="583"/>
      <c r="M245" s="583"/>
      <c r="N245" s="589"/>
      <c r="O245" s="583">
        <v>859.04</v>
      </c>
    </row>
    <row r="246" spans="1:15" s="109" customFormat="1" ht="15" customHeight="1">
      <c r="A246" s="342"/>
      <c r="B246" s="342"/>
      <c r="C246" s="1028" t="s">
        <v>1568</v>
      </c>
      <c r="D246" s="1028"/>
      <c r="E246" s="1028"/>
      <c r="F246" s="1028"/>
      <c r="G246" s="389"/>
      <c r="H246" s="582"/>
      <c r="I246" s="588"/>
      <c r="J246" s="582"/>
      <c r="K246" s="583"/>
      <c r="L246" s="583"/>
      <c r="M246" s="583"/>
      <c r="N246" s="680"/>
      <c r="O246" s="680"/>
    </row>
    <row r="247" spans="1:15" s="109" customFormat="1" ht="15" customHeight="1">
      <c r="A247" s="342"/>
      <c r="B247" s="342"/>
      <c r="C247" s="1009" t="s">
        <v>1569</v>
      </c>
      <c r="D247" s="1009"/>
      <c r="E247" s="1009"/>
      <c r="F247" s="1009"/>
      <c r="G247" s="389" t="s">
        <v>109</v>
      </c>
      <c r="H247" s="582">
        <v>3</v>
      </c>
      <c r="I247" s="588"/>
      <c r="J247" s="582"/>
      <c r="K247" s="583">
        <v>1.5</v>
      </c>
      <c r="L247" s="583"/>
      <c r="M247" s="583"/>
      <c r="N247" s="680">
        <v>2.5</v>
      </c>
      <c r="O247" s="680">
        <f>K247*N247*H247</f>
        <v>11.25</v>
      </c>
    </row>
    <row r="248" spans="1:15" s="109" customFormat="1" ht="19.899999999999999" customHeight="1">
      <c r="A248" s="376"/>
      <c r="B248" s="342"/>
      <c r="C248" s="1000" t="s">
        <v>1570</v>
      </c>
      <c r="D248" s="1000"/>
      <c r="E248" s="1000"/>
      <c r="F248" s="1000"/>
      <c r="G248" s="343" t="s">
        <v>61</v>
      </c>
      <c r="H248" s="443"/>
      <c r="I248" s="340">
        <v>1.2</v>
      </c>
      <c r="J248" s="340"/>
      <c r="K248" s="340">
        <v>1</v>
      </c>
      <c r="L248" s="118">
        <v>18.7</v>
      </c>
      <c r="M248" s="309"/>
      <c r="N248" s="118">
        <f>I248*L248</f>
        <v>22.439999999999998</v>
      </c>
      <c r="O248" s="119">
        <f t="shared" ref="O248:O252" si="8">N248*K248</f>
        <v>22.439999999999998</v>
      </c>
    </row>
    <row r="249" spans="1:15" s="109" customFormat="1" ht="19.899999999999999" customHeight="1">
      <c r="A249" s="376"/>
      <c r="B249" s="342"/>
      <c r="C249" s="1000" t="s">
        <v>1571</v>
      </c>
      <c r="D249" s="1000"/>
      <c r="E249" s="1000"/>
      <c r="F249" s="1000"/>
      <c r="G249" s="343" t="s">
        <v>61</v>
      </c>
      <c r="H249" s="443"/>
      <c r="I249" s="340">
        <v>4.4000000000000004</v>
      </c>
      <c r="J249" s="340"/>
      <c r="K249" s="340">
        <v>1</v>
      </c>
      <c r="L249" s="118">
        <v>1.8</v>
      </c>
      <c r="M249" s="309"/>
      <c r="N249" s="118">
        <f t="shared" ref="N249:N252" si="9">I249*L249</f>
        <v>7.9200000000000008</v>
      </c>
      <c r="O249" s="119">
        <f t="shared" si="8"/>
        <v>7.9200000000000008</v>
      </c>
    </row>
    <row r="250" spans="1:15" s="109" customFormat="1" ht="19.899999999999999" customHeight="1">
      <c r="A250" s="376"/>
      <c r="B250" s="342"/>
      <c r="C250" s="1000" t="s">
        <v>1572</v>
      </c>
      <c r="D250" s="1000"/>
      <c r="E250" s="1000"/>
      <c r="F250" s="1000"/>
      <c r="G250" s="343" t="s">
        <v>61</v>
      </c>
      <c r="H250" s="443"/>
      <c r="I250" s="340">
        <v>1.2</v>
      </c>
      <c r="J250" s="340"/>
      <c r="K250" s="340">
        <v>1</v>
      </c>
      <c r="L250" s="118">
        <v>13.5</v>
      </c>
      <c r="M250" s="309"/>
      <c r="N250" s="118">
        <f t="shared" si="9"/>
        <v>16.2</v>
      </c>
      <c r="O250" s="119">
        <f t="shared" si="8"/>
        <v>16.2</v>
      </c>
    </row>
    <row r="251" spans="1:15" s="109" customFormat="1" ht="19.899999999999999" customHeight="1">
      <c r="A251" s="376"/>
      <c r="B251" s="342"/>
      <c r="C251" s="1000" t="s">
        <v>1573</v>
      </c>
      <c r="D251" s="1000"/>
      <c r="E251" s="1000"/>
      <c r="F251" s="1000"/>
      <c r="G251" s="343" t="s">
        <v>61</v>
      </c>
      <c r="H251" s="443"/>
      <c r="I251" s="340">
        <v>2.4500000000000002</v>
      </c>
      <c r="J251" s="340"/>
      <c r="K251" s="340">
        <v>1</v>
      </c>
      <c r="L251" s="118">
        <v>7</v>
      </c>
      <c r="M251" s="309"/>
      <c r="N251" s="118">
        <f t="shared" si="9"/>
        <v>17.150000000000002</v>
      </c>
      <c r="O251" s="119">
        <f t="shared" si="8"/>
        <v>17.150000000000002</v>
      </c>
    </row>
    <row r="252" spans="1:15" s="109" customFormat="1" ht="19.899999999999999" customHeight="1">
      <c r="A252" s="376"/>
      <c r="B252" s="342"/>
      <c r="C252" s="1000" t="s">
        <v>1574</v>
      </c>
      <c r="D252" s="1000"/>
      <c r="E252" s="1000"/>
      <c r="F252" s="1000"/>
      <c r="G252" s="343" t="s">
        <v>61</v>
      </c>
      <c r="H252" s="443"/>
      <c r="I252" s="340">
        <v>0.9</v>
      </c>
      <c r="J252" s="340"/>
      <c r="K252" s="340">
        <v>1</v>
      </c>
      <c r="L252" s="118">
        <v>2.7</v>
      </c>
      <c r="M252" s="309"/>
      <c r="N252" s="118">
        <f t="shared" si="9"/>
        <v>2.4300000000000002</v>
      </c>
      <c r="O252" s="119">
        <f t="shared" si="8"/>
        <v>2.4300000000000002</v>
      </c>
    </row>
    <row r="253" spans="1:15" s="109" customFormat="1" ht="30" customHeight="1">
      <c r="A253" s="377">
        <f>ORÇAMENTO!A64</f>
        <v>11447</v>
      </c>
      <c r="B253" s="377" t="str">
        <f>ORÇAMENTO!C64</f>
        <v>3.02.04</v>
      </c>
      <c r="C253" s="1047" t="str">
        <f>ORÇAMENTO!D64</f>
        <v>COMPACTAÇÃO MANUAL COM COMPACTADOR A PERCUSSÃO SAPINHO, SEM CONTROLE DO GRAU DE COMPACTAÇÃO</v>
      </c>
      <c r="D253" s="1047"/>
      <c r="E253" s="1047"/>
      <c r="F253" s="1047"/>
      <c r="G253" s="377" t="str">
        <f>ORÇAMENTO!E63</f>
        <v>M³</v>
      </c>
      <c r="H253" s="380"/>
      <c r="I253" s="387"/>
      <c r="J253" s="380"/>
      <c r="K253" s="388"/>
      <c r="L253" s="380"/>
      <c r="M253" s="379"/>
      <c r="N253" s="380"/>
      <c r="O253" s="380">
        <f>SUM(O255:O262)*(1+O254)</f>
        <v>1170.5374999999999</v>
      </c>
    </row>
    <row r="254" spans="1:15" s="109" customFormat="1" ht="17.25" customHeight="1">
      <c r="A254" s="342"/>
      <c r="B254" s="342"/>
      <c r="C254" s="1000" t="s">
        <v>1566</v>
      </c>
      <c r="D254" s="1000"/>
      <c r="E254" s="1000"/>
      <c r="F254" s="1000"/>
      <c r="G254" s="389"/>
      <c r="H254" s="582"/>
      <c r="I254" s="588"/>
      <c r="J254" s="582"/>
      <c r="K254" s="583"/>
      <c r="L254" s="583"/>
      <c r="M254" s="583"/>
      <c r="N254" s="589"/>
      <c r="O254" s="865">
        <v>0.25</v>
      </c>
    </row>
    <row r="255" spans="1:15" s="109" customFormat="1" ht="19.899999999999999" customHeight="1">
      <c r="A255" s="342"/>
      <c r="B255" s="342"/>
      <c r="C255" s="1000" t="s">
        <v>1567</v>
      </c>
      <c r="D255" s="1000"/>
      <c r="E255" s="1000"/>
      <c r="F255" s="1000"/>
      <c r="G255" s="389"/>
      <c r="H255" s="582"/>
      <c r="I255" s="588"/>
      <c r="J255" s="582"/>
      <c r="K255" s="583"/>
      <c r="L255" s="583"/>
      <c r="M255" s="583"/>
      <c r="N255" s="589"/>
      <c r="O255" s="583">
        <v>859.04</v>
      </c>
    </row>
    <row r="256" spans="1:15" s="109" customFormat="1" ht="19.899999999999999" customHeight="1">
      <c r="A256" s="342"/>
      <c r="B256" s="342"/>
      <c r="C256" s="1028" t="s">
        <v>1568</v>
      </c>
      <c r="D256" s="1028"/>
      <c r="E256" s="1028"/>
      <c r="F256" s="1028"/>
      <c r="G256" s="389"/>
      <c r="H256" s="582"/>
      <c r="I256" s="588"/>
      <c r="J256" s="582"/>
      <c r="K256" s="583"/>
      <c r="L256" s="583"/>
      <c r="M256" s="583"/>
      <c r="N256" s="680"/>
      <c r="O256" s="680"/>
    </row>
    <row r="257" spans="1:15" s="109" customFormat="1" ht="19.899999999999999" customHeight="1">
      <c r="A257" s="342"/>
      <c r="B257" s="342"/>
      <c r="C257" s="1009" t="s">
        <v>1569</v>
      </c>
      <c r="D257" s="1009"/>
      <c r="E257" s="1009"/>
      <c r="F257" s="1009"/>
      <c r="G257" s="389" t="s">
        <v>109</v>
      </c>
      <c r="H257" s="582">
        <v>3</v>
      </c>
      <c r="I257" s="588"/>
      <c r="J257" s="582"/>
      <c r="K257" s="583">
        <v>1.5</v>
      </c>
      <c r="L257" s="583"/>
      <c r="M257" s="583"/>
      <c r="N257" s="680">
        <v>2.5</v>
      </c>
      <c r="O257" s="680">
        <f>K257*N257*H257</f>
        <v>11.25</v>
      </c>
    </row>
    <row r="258" spans="1:15" s="109" customFormat="1" ht="19.899999999999999" customHeight="1">
      <c r="A258" s="376"/>
      <c r="B258" s="342"/>
      <c r="C258" s="1000" t="s">
        <v>1570</v>
      </c>
      <c r="D258" s="1000"/>
      <c r="E258" s="1000"/>
      <c r="F258" s="1000"/>
      <c r="G258" s="343" t="s">
        <v>61</v>
      </c>
      <c r="H258" s="443"/>
      <c r="I258" s="340">
        <v>1.2</v>
      </c>
      <c r="J258" s="340"/>
      <c r="K258" s="340">
        <v>1</v>
      </c>
      <c r="L258" s="118">
        <v>18.7</v>
      </c>
      <c r="M258" s="309"/>
      <c r="N258" s="118">
        <f>I258*L258</f>
        <v>22.439999999999998</v>
      </c>
      <c r="O258" s="119">
        <f t="shared" ref="O258:O262" si="10">N258*K258</f>
        <v>22.439999999999998</v>
      </c>
    </row>
    <row r="259" spans="1:15" s="109" customFormat="1" ht="19.899999999999999" customHeight="1">
      <c r="A259" s="376"/>
      <c r="B259" s="342"/>
      <c r="C259" s="1000" t="s">
        <v>1571</v>
      </c>
      <c r="D259" s="1000"/>
      <c r="E259" s="1000"/>
      <c r="F259" s="1000"/>
      <c r="G259" s="343" t="s">
        <v>61</v>
      </c>
      <c r="H259" s="443"/>
      <c r="I259" s="340">
        <v>4.4000000000000004</v>
      </c>
      <c r="J259" s="340"/>
      <c r="K259" s="340">
        <v>1</v>
      </c>
      <c r="L259" s="118">
        <v>1.8</v>
      </c>
      <c r="M259" s="309"/>
      <c r="N259" s="118">
        <f t="shared" ref="N259:N262" si="11">I259*L259</f>
        <v>7.9200000000000008</v>
      </c>
      <c r="O259" s="119">
        <f t="shared" si="10"/>
        <v>7.9200000000000008</v>
      </c>
    </row>
    <row r="260" spans="1:15" s="109" customFormat="1" ht="19.899999999999999" customHeight="1">
      <c r="A260" s="376"/>
      <c r="B260" s="342"/>
      <c r="C260" s="1000" t="s">
        <v>1572</v>
      </c>
      <c r="D260" s="1000"/>
      <c r="E260" s="1000"/>
      <c r="F260" s="1000"/>
      <c r="G260" s="343" t="s">
        <v>61</v>
      </c>
      <c r="H260" s="443"/>
      <c r="I260" s="340">
        <v>1.2</v>
      </c>
      <c r="J260" s="340"/>
      <c r="K260" s="340">
        <v>1</v>
      </c>
      <c r="L260" s="118">
        <v>13.5</v>
      </c>
      <c r="M260" s="309"/>
      <c r="N260" s="118">
        <f t="shared" si="11"/>
        <v>16.2</v>
      </c>
      <c r="O260" s="119">
        <f t="shared" si="10"/>
        <v>16.2</v>
      </c>
    </row>
    <row r="261" spans="1:15" s="109" customFormat="1" ht="19.899999999999999" customHeight="1">
      <c r="A261" s="376"/>
      <c r="B261" s="342"/>
      <c r="C261" s="1000" t="s">
        <v>1573</v>
      </c>
      <c r="D261" s="1000"/>
      <c r="E261" s="1000"/>
      <c r="F261" s="1000"/>
      <c r="G261" s="343" t="s">
        <v>61</v>
      </c>
      <c r="H261" s="443"/>
      <c r="I261" s="340">
        <v>2.4500000000000002</v>
      </c>
      <c r="J261" s="340"/>
      <c r="K261" s="340">
        <v>1</v>
      </c>
      <c r="L261" s="118">
        <v>7</v>
      </c>
      <c r="M261" s="309"/>
      <c r="N261" s="118">
        <f t="shared" si="11"/>
        <v>17.150000000000002</v>
      </c>
      <c r="O261" s="119">
        <f t="shared" si="10"/>
        <v>17.150000000000002</v>
      </c>
    </row>
    <row r="262" spans="1:15" s="109" customFormat="1" ht="19.899999999999999" customHeight="1">
      <c r="A262" s="376"/>
      <c r="B262" s="342"/>
      <c r="C262" s="1000" t="s">
        <v>1574</v>
      </c>
      <c r="D262" s="1000"/>
      <c r="E262" s="1000"/>
      <c r="F262" s="1000"/>
      <c r="G262" s="343" t="s">
        <v>61</v>
      </c>
      <c r="H262" s="443"/>
      <c r="I262" s="340">
        <v>0.9</v>
      </c>
      <c r="J262" s="340"/>
      <c r="K262" s="340">
        <v>1</v>
      </c>
      <c r="L262" s="118">
        <v>2.7</v>
      </c>
      <c r="M262" s="309"/>
      <c r="N262" s="118">
        <f t="shared" si="11"/>
        <v>2.4300000000000002</v>
      </c>
      <c r="O262" s="119">
        <f t="shared" si="10"/>
        <v>2.4300000000000002</v>
      </c>
    </row>
    <row r="263" spans="1:15" s="109" customFormat="1" ht="25.5" customHeight="1">
      <c r="A263" s="377">
        <f>ORÇAMENTO!A65</f>
        <v>95426</v>
      </c>
      <c r="B263" s="377" t="str">
        <f>ORÇAMENTO!C65</f>
        <v>3.02.05</v>
      </c>
      <c r="C263" s="1047" t="str">
        <f>ORÇAMENTO!D65</f>
        <v>TRANSPORTE COM CAMINHÃO BASCULANTE DE 18 M³, EM VIA URBANA EM REVESTIMENTO PRIMÁRIO (UNIDADE: M3XKM). AF_07/2020</v>
      </c>
      <c r="D263" s="1047"/>
      <c r="E263" s="1047"/>
      <c r="F263" s="1047"/>
      <c r="G263" s="377" t="str">
        <f>ORÇAMENTO!E64</f>
        <v>M³</v>
      </c>
      <c r="H263" s="380"/>
      <c r="I263" s="387"/>
      <c r="J263" s="380"/>
      <c r="K263" s="388"/>
      <c r="L263" s="380"/>
      <c r="M263" s="379"/>
      <c r="N263" s="380"/>
      <c r="O263" s="380">
        <f>SUM(O264:O265)</f>
        <v>59493.824999999997</v>
      </c>
    </row>
    <row r="264" spans="1:15" s="109" customFormat="1" ht="19.899999999999999" customHeight="1">
      <c r="A264" s="376"/>
      <c r="B264" s="391"/>
      <c r="C264" s="1000" t="s">
        <v>1575</v>
      </c>
      <c r="D264" s="1000"/>
      <c r="E264" s="1000"/>
      <c r="F264" s="1000"/>
      <c r="G264" s="392" t="s">
        <v>109</v>
      </c>
      <c r="H264" s="443"/>
      <c r="I264" s="128"/>
      <c r="J264" s="128"/>
      <c r="K264" s="340"/>
      <c r="L264" s="118">
        <v>30</v>
      </c>
      <c r="M264" s="863"/>
      <c r="N264" s="118"/>
      <c r="O264" s="119">
        <f>$O$253*L264</f>
        <v>35116.125</v>
      </c>
    </row>
    <row r="265" spans="1:15" s="109" customFormat="1" ht="19.899999999999999" customHeight="1">
      <c r="A265" s="376"/>
      <c r="B265" s="391"/>
      <c r="C265" s="1000" t="s">
        <v>1576</v>
      </c>
      <c r="D265" s="1000"/>
      <c r="E265" s="1000"/>
      <c r="F265" s="1000"/>
      <c r="G265" s="392" t="s">
        <v>109</v>
      </c>
      <c r="H265" s="443"/>
      <c r="I265" s="128"/>
      <c r="J265" s="128"/>
      <c r="K265" s="340"/>
      <c r="L265" s="118">
        <v>30</v>
      </c>
      <c r="M265" s="863"/>
      <c r="N265" s="118"/>
      <c r="O265" s="119">
        <f>L265*$O$241</f>
        <v>24377.7</v>
      </c>
    </row>
    <row r="266" spans="1:15" ht="12.75" customHeight="1">
      <c r="A266" s="373" t="s">
        <v>11</v>
      </c>
      <c r="B266" s="374" t="s">
        <v>13</v>
      </c>
      <c r="C266" s="1007" t="s">
        <v>1443</v>
      </c>
      <c r="D266" s="1007"/>
      <c r="E266" s="1007"/>
      <c r="F266" s="1007"/>
      <c r="G266" s="374" t="s">
        <v>15</v>
      </c>
      <c r="H266" s="375" t="s">
        <v>1444</v>
      </c>
      <c r="I266" s="106" t="s">
        <v>1445</v>
      </c>
      <c r="J266" s="106" t="s">
        <v>1446</v>
      </c>
      <c r="K266" s="375" t="s">
        <v>1447</v>
      </c>
      <c r="L266" s="375" t="s">
        <v>1448</v>
      </c>
      <c r="M266" s="374" t="s">
        <v>1457</v>
      </c>
      <c r="N266" s="375" t="s">
        <v>1450</v>
      </c>
      <c r="O266" s="375" t="s">
        <v>1451</v>
      </c>
    </row>
    <row r="267" spans="1:15" s="109" customFormat="1" ht="12.75" customHeight="1">
      <c r="A267" s="393"/>
      <c r="B267" s="110" t="str">
        <f>ORÇAMENTO!C66</f>
        <v>4.00</v>
      </c>
      <c r="C267" s="1099" t="str">
        <f>ORÇAMENTO!D66</f>
        <v>INFRA-ESTRUTURA E FUNDAÇÕES</v>
      </c>
      <c r="D267" s="1099"/>
      <c r="E267" s="1099"/>
      <c r="F267" s="1099"/>
      <c r="G267" s="1100"/>
      <c r="H267" s="1100"/>
      <c r="I267" s="1100"/>
      <c r="J267" s="1100"/>
      <c r="K267" s="1100"/>
      <c r="L267" s="1100"/>
      <c r="M267" s="1100"/>
      <c r="N267" s="1100"/>
      <c r="O267" s="1100"/>
    </row>
    <row r="268" spans="1:15" s="109" customFormat="1" ht="12.75" customHeight="1">
      <c r="A268" s="393"/>
      <c r="B268" s="110" t="str">
        <f>ORÇAMENTO!C67</f>
        <v>4.01</v>
      </c>
      <c r="C268" s="1099" t="str">
        <f>ORÇAMENTO!D67</f>
        <v>PREPARO DO TERRENO</v>
      </c>
      <c r="D268" s="1099"/>
      <c r="E268" s="1099"/>
      <c r="F268" s="1099"/>
      <c r="G268" s="110"/>
      <c r="H268" s="110"/>
      <c r="I268" s="110"/>
      <c r="J268" s="110"/>
      <c r="K268" s="110"/>
      <c r="L268" s="110"/>
      <c r="M268" s="110"/>
      <c r="N268" s="110"/>
      <c r="O268" s="111"/>
    </row>
    <row r="269" spans="1:15" s="109" customFormat="1" ht="41.25" customHeight="1">
      <c r="A269" s="377">
        <f>ORÇAMENTO!A68</f>
        <v>4177</v>
      </c>
      <c r="B269" s="377" t="str">
        <f>ORÇAMENTO!C68</f>
        <v>4.01.01</v>
      </c>
      <c r="C269" s="1047" t="str">
        <f>ORÇAMENTO!D68</f>
        <v>LOCAÇÃO DE CONSTRUÇÃO DE EDIFICAÇÃO ACIMA DE 1000 M2, INCLUSIVE EXECUÇÃO DE GABARITO DE MADEIRA</v>
      </c>
      <c r="D269" s="1047"/>
      <c r="E269" s="1047"/>
      <c r="F269" s="1047"/>
      <c r="G269" s="377" t="str">
        <f>ORÇAMENTO!E68</f>
        <v>M²</v>
      </c>
      <c r="H269" s="380"/>
      <c r="I269" s="387"/>
      <c r="J269" s="380"/>
      <c r="K269" s="388"/>
      <c r="L269" s="380"/>
      <c r="M269" s="379"/>
      <c r="N269" s="380">
        <f>N270</f>
        <v>2932.4</v>
      </c>
      <c r="O269" s="380"/>
    </row>
    <row r="270" spans="1:15" s="109" customFormat="1" ht="12.75" customHeight="1">
      <c r="A270" s="342"/>
      <c r="B270" s="342"/>
      <c r="C270" s="1027" t="s">
        <v>1577</v>
      </c>
      <c r="D270" s="1027"/>
      <c r="E270" s="1027"/>
      <c r="F270" s="1027"/>
      <c r="G270" s="343" t="s">
        <v>61</v>
      </c>
      <c r="H270" s="586"/>
      <c r="I270" s="591"/>
      <c r="J270" s="586"/>
      <c r="K270" s="587"/>
      <c r="L270" s="587"/>
      <c r="M270" s="587"/>
      <c r="N270" s="589">
        <v>2932.4</v>
      </c>
      <c r="O270" s="592"/>
    </row>
    <row r="271" spans="1:15" s="109" customFormat="1">
      <c r="A271" s="376"/>
      <c r="B271" s="376"/>
      <c r="C271" s="394"/>
      <c r="D271" s="112"/>
      <c r="E271" s="112"/>
      <c r="F271" s="112"/>
      <c r="G271" s="393"/>
      <c r="H271" s="110"/>
      <c r="I271" s="110"/>
      <c r="J271" s="110"/>
      <c r="K271" s="110"/>
      <c r="L271" s="110"/>
      <c r="M271" s="110"/>
      <c r="N271" s="110"/>
      <c r="O271" s="111"/>
    </row>
    <row r="272" spans="1:15" s="109" customFormat="1" ht="12.75" customHeight="1">
      <c r="A272" s="393"/>
      <c r="B272" s="110" t="str">
        <f>ORÇAMENTO!C69</f>
        <v>4.02</v>
      </c>
      <c r="C272" s="1102" t="str">
        <f>ORÇAMENTO!D69</f>
        <v>FUNDAÇÕES DIRETAS</v>
      </c>
      <c r="D272" s="1102"/>
      <c r="E272" s="1102"/>
      <c r="F272" s="1102"/>
      <c r="G272" s="110"/>
      <c r="H272" s="110"/>
      <c r="I272" s="110"/>
      <c r="J272" s="110"/>
      <c r="K272" s="110"/>
      <c r="L272" s="110"/>
      <c r="M272" s="110"/>
      <c r="N272" s="110"/>
      <c r="O272" s="111"/>
    </row>
    <row r="273" spans="1:15" s="109" customFormat="1" ht="55.5" customHeight="1">
      <c r="A273" s="377">
        <f>ORÇAMENTO!A70</f>
        <v>101166</v>
      </c>
      <c r="B273" s="377" t="str">
        <f>ORÇAMENTO!C70</f>
        <v>4.02.01</v>
      </c>
      <c r="C273" s="1071" t="str">
        <f>ORÇAMENTO!D70</f>
        <v>ALVENARIA DE EMBASAMENTO COM BLOCO ESTRUTURAL DE CERÂMICA, DE 14X19X29 CM E ARGAMASSA DE ASSENTAMENTO COM PREPARO EM BETONEIRA. AF_05/2020</v>
      </c>
      <c r="D273" s="1071"/>
      <c r="E273" s="1071"/>
      <c r="F273" s="1071"/>
      <c r="G273" s="377" t="str">
        <f>ORÇAMENTO!E70</f>
        <v>M³</v>
      </c>
      <c r="H273" s="380"/>
      <c r="I273" s="395"/>
      <c r="J273" s="380"/>
      <c r="K273" s="380"/>
      <c r="L273" s="377"/>
      <c r="M273" s="377"/>
      <c r="N273" s="377"/>
      <c r="O273" s="380">
        <f>SUM(O274:O274)</f>
        <v>96.596000000000004</v>
      </c>
    </row>
    <row r="274" spans="1:15" s="109" customFormat="1" ht="15" customHeight="1">
      <c r="A274" s="342"/>
      <c r="B274" s="396"/>
      <c r="C274" s="1000" t="s">
        <v>1578</v>
      </c>
      <c r="D274" s="1000"/>
      <c r="E274" s="1000"/>
      <c r="F274" s="1000"/>
      <c r="G274" s="343" t="s">
        <v>109</v>
      </c>
      <c r="H274" s="593">
        <v>1.1000000000000001</v>
      </c>
      <c r="I274" s="594">
        <v>0.2</v>
      </c>
      <c r="J274" s="583">
        <f>165.87+1.93+11.83+18.18+5+5+5+6.8+12.17+9.95+1.75+3.9+1.05+26.34+9.6+5.33+2.65+2.65+2.65+1.85+6.98+11.88+25.39+2.4+5.08+4.6+13.14+3.5+6.32+16.96+1.36+12.71+2.55+2.55+2.55+22.65+4.06+2.6+12.84+4.88+4.18+3.5+5+1.6+4.2</f>
        <v>482.97999999999996</v>
      </c>
      <c r="K274" s="587">
        <v>1</v>
      </c>
      <c r="L274" s="587"/>
      <c r="M274" s="587"/>
      <c r="N274" s="592"/>
      <c r="O274" s="592">
        <f>I274*J274*K274</f>
        <v>96.596000000000004</v>
      </c>
    </row>
    <row r="275" spans="1:15" s="109" customFormat="1" ht="37.5" customHeight="1">
      <c r="A275" s="377">
        <f>ORÇAMENTO!A71</f>
        <v>94962</v>
      </c>
      <c r="B275" s="377" t="str">
        <f>ORÇAMENTO!C71</f>
        <v>4.02.02</v>
      </c>
      <c r="C275" s="1071" t="str">
        <f>ORÇAMENTO!D71</f>
        <v>CONCRETO MAGRO PARA LASTRO, TRAÇO 1:4,5:4,5 (EM MASSA SECA DE CIMENTO/AREIA MÉDIA/ BRITA 1) - PREPARO MECÂNICO COM BETONEIRA 400 L. AF_05/2021</v>
      </c>
      <c r="D275" s="1071"/>
      <c r="E275" s="1071"/>
      <c r="F275" s="1071"/>
      <c r="G275" s="377" t="str">
        <f>ORÇAMENTO!E71</f>
        <v>M³</v>
      </c>
      <c r="H275" s="380"/>
      <c r="I275" s="387"/>
      <c r="J275" s="380"/>
      <c r="K275" s="388"/>
      <c r="L275" s="380"/>
      <c r="M275" s="379"/>
      <c r="N275" s="380"/>
      <c r="O275" s="380">
        <f>SUM(O276:O295)</f>
        <v>13.714850000000002</v>
      </c>
    </row>
    <row r="276" spans="1:15" s="109" customFormat="1" ht="15" customHeight="1">
      <c r="A276" s="342"/>
      <c r="B276" s="396"/>
      <c r="C276" s="1000" t="s">
        <v>1579</v>
      </c>
      <c r="D276" s="1000"/>
      <c r="E276" s="1000"/>
      <c r="F276" s="1000"/>
      <c r="G276" s="343" t="s">
        <v>109</v>
      </c>
      <c r="H276" s="595"/>
      <c r="I276" s="587">
        <v>0.4</v>
      </c>
      <c r="J276" s="587">
        <f>165.87+1.93+11.83+18.18+5+5+5+6.8+12.17+9.95+1.75+3.9+1.05+26.34+9.6+5.33+2.65+2.65+2.65+1.85+6.98+11.88+25.39+2.4+5.08+4.6+13.14+3.5+6.32+16.96+1.36+12.71+2.55+2.55+2.55+22.65+4.06+2.6+12.84+4.88+4.18+3.5+5+1.6+4.2</f>
        <v>482.97999999999996</v>
      </c>
      <c r="K276" s="587">
        <v>0.05</v>
      </c>
      <c r="L276" s="587"/>
      <c r="M276" s="587"/>
      <c r="N276" s="592"/>
      <c r="O276" s="583">
        <f>I276*J276*K276</f>
        <v>9.6596000000000011</v>
      </c>
    </row>
    <row r="277" spans="1:15" s="109" customFormat="1" ht="30" customHeight="1">
      <c r="A277" s="342"/>
      <c r="B277" s="396"/>
      <c r="C277" s="1095" t="s">
        <v>1580</v>
      </c>
      <c r="D277" s="1095"/>
      <c r="E277" s="1095"/>
      <c r="F277" s="1095"/>
      <c r="G277" s="389" t="s">
        <v>109</v>
      </c>
      <c r="H277" s="587">
        <v>28</v>
      </c>
      <c r="I277" s="587">
        <v>0.6</v>
      </c>
      <c r="J277" s="587">
        <v>0.6</v>
      </c>
      <c r="K277" s="587">
        <v>0.05</v>
      </c>
      <c r="L277" s="587"/>
      <c r="M277" s="587"/>
      <c r="N277" s="592"/>
      <c r="O277" s="583">
        <f>I277*J277*K277*H277</f>
        <v>0.504</v>
      </c>
    </row>
    <row r="278" spans="1:15" s="109" customFormat="1" ht="30" customHeight="1">
      <c r="A278" s="342"/>
      <c r="B278" s="396"/>
      <c r="C278" s="1095" t="s">
        <v>1581</v>
      </c>
      <c r="D278" s="1095"/>
      <c r="E278" s="1095"/>
      <c r="F278" s="1095"/>
      <c r="G278" s="389" t="s">
        <v>109</v>
      </c>
      <c r="H278" s="587">
        <v>20</v>
      </c>
      <c r="I278" s="587">
        <v>0.7</v>
      </c>
      <c r="J278" s="587">
        <v>0.7</v>
      </c>
      <c r="K278" s="587">
        <v>0.05</v>
      </c>
      <c r="L278" s="587"/>
      <c r="M278" s="587"/>
      <c r="N278" s="592"/>
      <c r="O278" s="583">
        <f t="shared" ref="O278:O286" si="12">I278*J278*K278*H278</f>
        <v>0.48999999999999994</v>
      </c>
    </row>
    <row r="279" spans="1:15" s="109" customFormat="1" ht="15" customHeight="1">
      <c r="A279" s="342"/>
      <c r="B279" s="396"/>
      <c r="C279" s="1000" t="s">
        <v>1582</v>
      </c>
      <c r="D279" s="1000"/>
      <c r="E279" s="1000"/>
      <c r="F279" s="1000"/>
      <c r="G279" s="389" t="s">
        <v>109</v>
      </c>
      <c r="H279" s="587">
        <v>10</v>
      </c>
      <c r="I279" s="587">
        <v>0.8</v>
      </c>
      <c r="J279" s="587">
        <v>0.8</v>
      </c>
      <c r="K279" s="587">
        <v>0.05</v>
      </c>
      <c r="L279" s="587"/>
      <c r="M279" s="587"/>
      <c r="N279" s="592"/>
      <c r="O279" s="583">
        <f t="shared" si="12"/>
        <v>0.32000000000000006</v>
      </c>
    </row>
    <row r="280" spans="1:15" s="109" customFormat="1" ht="15" customHeight="1">
      <c r="A280" s="342"/>
      <c r="B280" s="396"/>
      <c r="C280" s="1000" t="s">
        <v>1583</v>
      </c>
      <c r="D280" s="1000"/>
      <c r="E280" s="1000"/>
      <c r="F280" s="1000"/>
      <c r="G280" s="389" t="s">
        <v>109</v>
      </c>
      <c r="H280" s="587">
        <v>6</v>
      </c>
      <c r="I280" s="587">
        <v>0.9</v>
      </c>
      <c r="J280" s="587">
        <v>0.9</v>
      </c>
      <c r="K280" s="587">
        <v>0.05</v>
      </c>
      <c r="L280" s="587"/>
      <c r="M280" s="587"/>
      <c r="N280" s="592"/>
      <c r="O280" s="583">
        <f t="shared" si="12"/>
        <v>0.24300000000000005</v>
      </c>
    </row>
    <row r="281" spans="1:15" s="109" customFormat="1" ht="15" customHeight="1">
      <c r="A281" s="342"/>
      <c r="B281" s="396"/>
      <c r="C281" s="1000" t="s">
        <v>1584</v>
      </c>
      <c r="D281" s="1000"/>
      <c r="E281" s="1000"/>
      <c r="F281" s="1000"/>
      <c r="G281" s="389" t="s">
        <v>109</v>
      </c>
      <c r="H281" s="587">
        <v>6</v>
      </c>
      <c r="I281" s="587">
        <v>1.1000000000000001</v>
      </c>
      <c r="J281" s="587">
        <v>1.1000000000000001</v>
      </c>
      <c r="K281" s="587">
        <v>0.05</v>
      </c>
      <c r="L281" s="587"/>
      <c r="M281" s="587"/>
      <c r="N281" s="592"/>
      <c r="O281" s="583">
        <f t="shared" si="12"/>
        <v>0.3630000000000001</v>
      </c>
    </row>
    <row r="282" spans="1:15" s="109" customFormat="1" ht="15" customHeight="1">
      <c r="A282" s="342"/>
      <c r="B282" s="396"/>
      <c r="C282" s="1000" t="s">
        <v>1546</v>
      </c>
      <c r="D282" s="1000"/>
      <c r="E282" s="1000"/>
      <c r="F282" s="1000"/>
      <c r="G282" s="389" t="s">
        <v>109</v>
      </c>
      <c r="H282" s="587">
        <v>1</v>
      </c>
      <c r="I282" s="587">
        <v>1.3</v>
      </c>
      <c r="J282" s="587">
        <v>1.3</v>
      </c>
      <c r="K282" s="587">
        <v>0.05</v>
      </c>
      <c r="L282" s="587"/>
      <c r="M282" s="587"/>
      <c r="N282" s="592"/>
      <c r="O282" s="583">
        <f t="shared" si="12"/>
        <v>8.450000000000002E-2</v>
      </c>
    </row>
    <row r="283" spans="1:15" s="109" customFormat="1" ht="15" customHeight="1">
      <c r="A283" s="342"/>
      <c r="B283" s="396"/>
      <c r="C283" s="1000" t="s">
        <v>1542</v>
      </c>
      <c r="D283" s="1000"/>
      <c r="E283" s="1000"/>
      <c r="F283" s="1000"/>
      <c r="G283" s="389" t="s">
        <v>109</v>
      </c>
      <c r="H283" s="587">
        <v>1</v>
      </c>
      <c r="I283" s="587">
        <v>1.7</v>
      </c>
      <c r="J283" s="587">
        <v>1.7</v>
      </c>
      <c r="K283" s="587">
        <v>0.05</v>
      </c>
      <c r="L283" s="587"/>
      <c r="M283" s="587"/>
      <c r="N283" s="592"/>
      <c r="O283" s="583">
        <f t="shared" si="12"/>
        <v>0.14449999999999999</v>
      </c>
    </row>
    <row r="284" spans="1:15" s="109" customFormat="1" ht="15" customHeight="1">
      <c r="A284" s="342"/>
      <c r="B284" s="396"/>
      <c r="C284" s="1000" t="s">
        <v>1544</v>
      </c>
      <c r="D284" s="1000"/>
      <c r="E284" s="1000"/>
      <c r="F284" s="1000"/>
      <c r="G284" s="389" t="s">
        <v>109</v>
      </c>
      <c r="H284" s="587">
        <v>1</v>
      </c>
      <c r="I284" s="587">
        <v>1.85</v>
      </c>
      <c r="J284" s="587">
        <v>1.85</v>
      </c>
      <c r="K284" s="587">
        <v>0.05</v>
      </c>
      <c r="L284" s="587"/>
      <c r="M284" s="587"/>
      <c r="N284" s="592"/>
      <c r="O284" s="583">
        <f t="shared" si="12"/>
        <v>0.17112500000000003</v>
      </c>
    </row>
    <row r="285" spans="1:15" s="109" customFormat="1" ht="15" customHeight="1">
      <c r="A285" s="342"/>
      <c r="B285" s="396"/>
      <c r="C285" s="1029" t="s">
        <v>1585</v>
      </c>
      <c r="D285" s="1029"/>
      <c r="E285" s="1029"/>
      <c r="F285" s="1029"/>
      <c r="G285" s="343"/>
      <c r="H285" s="587"/>
      <c r="I285" s="587"/>
      <c r="J285" s="587"/>
      <c r="K285" s="587"/>
      <c r="L285" s="587"/>
      <c r="M285" s="587"/>
      <c r="N285" s="592"/>
      <c r="O285" s="583"/>
    </row>
    <row r="286" spans="1:15" s="109" customFormat="1" ht="15" customHeight="1">
      <c r="A286" s="342"/>
      <c r="B286" s="396"/>
      <c r="C286" s="1000" t="s">
        <v>1586</v>
      </c>
      <c r="D286" s="1000"/>
      <c r="E286" s="1000"/>
      <c r="F286" s="1000"/>
      <c r="G286" s="389" t="s">
        <v>109</v>
      </c>
      <c r="H286" s="587">
        <v>5</v>
      </c>
      <c r="I286" s="587">
        <v>1</v>
      </c>
      <c r="J286" s="587">
        <v>1</v>
      </c>
      <c r="K286" s="587">
        <v>0.05</v>
      </c>
      <c r="L286" s="587"/>
      <c r="M286" s="587"/>
      <c r="N286" s="592"/>
      <c r="O286" s="583">
        <f t="shared" si="12"/>
        <v>0.25</v>
      </c>
    </row>
    <row r="287" spans="1:15" s="109" customFormat="1" ht="15" customHeight="1">
      <c r="A287" s="342"/>
      <c r="B287" s="396"/>
      <c r="C287" s="1000"/>
      <c r="D287" s="1000"/>
      <c r="E287" s="1000"/>
      <c r="F287" s="1000"/>
      <c r="G287" s="343"/>
      <c r="H287" s="595"/>
      <c r="I287" s="587"/>
      <c r="J287" s="587"/>
      <c r="K287" s="587"/>
      <c r="L287" s="587"/>
      <c r="M287" s="587"/>
      <c r="N287" s="592"/>
      <c r="O287" s="583"/>
    </row>
    <row r="288" spans="1:15" s="109" customFormat="1" ht="15" customHeight="1">
      <c r="A288" s="342"/>
      <c r="B288" s="396"/>
      <c r="C288" s="1008" t="s">
        <v>1558</v>
      </c>
      <c r="D288" s="1008"/>
      <c r="E288" s="1008"/>
      <c r="F288" s="1008"/>
      <c r="G288" s="389"/>
      <c r="H288" s="582"/>
      <c r="I288" s="582"/>
      <c r="J288" s="582"/>
      <c r="K288" s="583"/>
      <c r="L288" s="583"/>
      <c r="M288" s="583"/>
      <c r="N288" s="589"/>
      <c r="O288" s="583"/>
    </row>
    <row r="289" spans="1:15" s="109" customFormat="1" ht="15" customHeight="1">
      <c r="A289" s="342"/>
      <c r="B289" s="396"/>
      <c r="C289" s="1027" t="s">
        <v>1559</v>
      </c>
      <c r="D289" s="1027"/>
      <c r="E289" s="1027"/>
      <c r="F289" s="1027"/>
      <c r="G289" s="389" t="s">
        <v>109</v>
      </c>
      <c r="H289" s="582"/>
      <c r="I289" s="582">
        <v>2.5</v>
      </c>
      <c r="J289" s="582">
        <v>6</v>
      </c>
      <c r="K289" s="583">
        <v>0.05</v>
      </c>
      <c r="L289" s="583"/>
      <c r="M289" s="583"/>
      <c r="N289" s="589"/>
      <c r="O289" s="583">
        <f>I289*J289*K289</f>
        <v>0.75</v>
      </c>
    </row>
    <row r="290" spans="1:15" s="109" customFormat="1" ht="15" customHeight="1">
      <c r="A290" s="342"/>
      <c r="B290" s="396"/>
      <c r="C290" s="1027" t="s">
        <v>1560</v>
      </c>
      <c r="D290" s="1027"/>
      <c r="E290" s="1027"/>
      <c r="F290" s="1027"/>
      <c r="G290" s="389" t="s">
        <v>109</v>
      </c>
      <c r="H290" s="582"/>
      <c r="I290" s="582">
        <v>1.5</v>
      </c>
      <c r="J290" s="582">
        <v>1.8</v>
      </c>
      <c r="K290" s="583">
        <v>0.05</v>
      </c>
      <c r="L290" s="583"/>
      <c r="M290" s="583"/>
      <c r="N290" s="589"/>
      <c r="O290" s="583">
        <f t="shared" ref="O290:O293" si="13">I290*J290*K290</f>
        <v>0.13500000000000001</v>
      </c>
    </row>
    <row r="291" spans="1:15" s="109" customFormat="1" ht="15" customHeight="1">
      <c r="A291" s="342"/>
      <c r="B291" s="396"/>
      <c r="C291" s="1008" t="s">
        <v>1587</v>
      </c>
      <c r="D291" s="1008"/>
      <c r="E291" s="1008"/>
      <c r="F291" s="1008"/>
      <c r="G291" s="389"/>
      <c r="H291" s="582"/>
      <c r="I291" s="582"/>
      <c r="J291" s="582"/>
      <c r="K291" s="583"/>
      <c r="L291" s="583"/>
      <c r="M291" s="583"/>
      <c r="N291" s="589"/>
      <c r="O291" s="583"/>
    </row>
    <row r="292" spans="1:15" s="109" customFormat="1" ht="15" customHeight="1">
      <c r="A292" s="342"/>
      <c r="B292" s="396"/>
      <c r="C292" s="1027" t="s">
        <v>1563</v>
      </c>
      <c r="D292" s="1027"/>
      <c r="E292" s="1027"/>
      <c r="F292" s="1027"/>
      <c r="G292" s="389" t="s">
        <v>109</v>
      </c>
      <c r="H292" s="582"/>
      <c r="I292" s="582">
        <v>2.2000000000000002</v>
      </c>
      <c r="J292" s="582">
        <v>3.9</v>
      </c>
      <c r="K292" s="583">
        <v>0.05</v>
      </c>
      <c r="L292" s="583"/>
      <c r="M292" s="583"/>
      <c r="N292" s="589"/>
      <c r="O292" s="583">
        <f t="shared" si="13"/>
        <v>0.42900000000000005</v>
      </c>
    </row>
    <row r="293" spans="1:15" s="109" customFormat="1" ht="15" customHeight="1">
      <c r="A293" s="342"/>
      <c r="B293" s="396"/>
      <c r="C293" s="1027" t="s">
        <v>1564</v>
      </c>
      <c r="D293" s="1027"/>
      <c r="E293" s="1027"/>
      <c r="F293" s="1027"/>
      <c r="G293" s="389" t="s">
        <v>109</v>
      </c>
      <c r="H293" s="582"/>
      <c r="I293" s="588">
        <v>1.85</v>
      </c>
      <c r="J293" s="582">
        <v>1.85</v>
      </c>
      <c r="K293" s="583">
        <v>0.05</v>
      </c>
      <c r="L293" s="583"/>
      <c r="M293" s="583"/>
      <c r="N293" s="589"/>
      <c r="O293" s="583">
        <f t="shared" si="13"/>
        <v>0.17112500000000003</v>
      </c>
    </row>
    <row r="294" spans="1:15" s="109" customFormat="1" ht="15" customHeight="1">
      <c r="A294" s="342"/>
      <c r="B294" s="396"/>
      <c r="C294" s="1000"/>
      <c r="D294" s="1000"/>
      <c r="E294" s="1000"/>
      <c r="F294" s="1000"/>
      <c r="G294" s="343"/>
      <c r="H294" s="595"/>
      <c r="I294" s="587"/>
      <c r="J294" s="587"/>
      <c r="K294" s="587"/>
      <c r="L294" s="587"/>
      <c r="M294" s="587"/>
      <c r="N294" s="592"/>
      <c r="O294" s="583"/>
    </row>
    <row r="295" spans="1:15" s="109" customFormat="1" ht="15" customHeight="1">
      <c r="A295" s="342"/>
      <c r="B295" s="342"/>
      <c r="C295" s="1000"/>
      <c r="D295" s="1000"/>
      <c r="E295" s="1000"/>
      <c r="F295" s="1000"/>
      <c r="G295" s="389" t="s">
        <v>109</v>
      </c>
      <c r="H295" s="596"/>
      <c r="I295" s="597"/>
      <c r="J295" s="597"/>
      <c r="K295" s="598"/>
      <c r="L295" s="583"/>
      <c r="M295" s="583"/>
      <c r="N295" s="589"/>
      <c r="O295" s="583"/>
    </row>
    <row r="296" spans="1:15" s="109" customFormat="1" ht="36" customHeight="1">
      <c r="A296" s="377">
        <f>ORÇAMENTO!A72</f>
        <v>11483</v>
      </c>
      <c r="B296" s="377" t="str">
        <f>ORÇAMENTO!C72</f>
        <v>4.02.03</v>
      </c>
      <c r="C296" s="1004" t="str">
        <f>ORÇAMENTO!D72</f>
        <v>CONCRETO SIMPLES USINADO FCK=35MPA, BOMBEADO, LANÇADO E ADENSADO NA INFRAESTRUTURA - CINTA</v>
      </c>
      <c r="D296" s="1004"/>
      <c r="E296" s="1004"/>
      <c r="F296" s="1004"/>
      <c r="G296" s="377" t="str">
        <f>ORÇAMENTO!E72</f>
        <v>M³</v>
      </c>
      <c r="H296" s="380"/>
      <c r="I296" s="387"/>
      <c r="J296" s="380"/>
      <c r="K296" s="388"/>
      <c r="L296" s="380"/>
      <c r="M296" s="379"/>
      <c r="N296" s="380"/>
      <c r="O296" s="380">
        <f>SUM(O297:O300)</f>
        <v>77.276800000000009</v>
      </c>
    </row>
    <row r="297" spans="1:15" s="109" customFormat="1" ht="15" customHeight="1">
      <c r="A297" s="342"/>
      <c r="B297" s="342"/>
      <c r="C297" s="1000" t="s">
        <v>1579</v>
      </c>
      <c r="D297" s="1000"/>
      <c r="E297" s="1000"/>
      <c r="F297" s="1000"/>
      <c r="G297" s="389" t="s">
        <v>109</v>
      </c>
      <c r="H297" s="597"/>
      <c r="I297" s="597">
        <v>0.4</v>
      </c>
      <c r="J297" s="587">
        <f>165.87+1.93+11.83+18.18+5+5+5+6.8+12.17+9.95+1.75+3.9+1.05+26.34+9.6+5.33+2.65+2.65+2.65+1.85+6.98+11.88+25.39+2.4+5.08+4.6+13.14+3.5+6.32+16.96+1.36+12.71+2.55+2.55+2.55+22.65+4.06+2.6+12.84+4.88+4.18+3.5+5+1.6+4.2</f>
        <v>482.97999999999996</v>
      </c>
      <c r="K297" s="598">
        <v>0.4</v>
      </c>
      <c r="L297" s="583"/>
      <c r="M297" s="583"/>
      <c r="N297" s="589"/>
      <c r="O297" s="598">
        <f>I297*J297*K297</f>
        <v>77.276800000000009</v>
      </c>
    </row>
    <row r="298" spans="1:15" s="109" customFormat="1" ht="15" customHeight="1">
      <c r="A298" s="342"/>
      <c r="B298" s="342"/>
      <c r="C298" s="1000"/>
      <c r="D298" s="1000"/>
      <c r="E298" s="1000"/>
      <c r="F298" s="1000"/>
      <c r="G298" s="389"/>
      <c r="H298" s="597"/>
      <c r="I298" s="597"/>
      <c r="J298" s="597"/>
      <c r="K298" s="598"/>
      <c r="L298" s="598"/>
      <c r="M298" s="598"/>
      <c r="N298" s="599"/>
      <c r="O298" s="598">
        <f>H298*I298*J298*K298</f>
        <v>0</v>
      </c>
    </row>
    <row r="299" spans="1:15" ht="12.75" customHeight="1">
      <c r="A299" s="342"/>
      <c r="B299" s="342"/>
      <c r="C299" s="1000"/>
      <c r="D299" s="1000"/>
      <c r="E299" s="1000"/>
      <c r="F299" s="1000"/>
      <c r="G299" s="343"/>
      <c r="H299" s="597"/>
      <c r="I299" s="596"/>
      <c r="J299" s="596"/>
      <c r="K299" s="600"/>
      <c r="L299" s="598"/>
      <c r="M299" s="598"/>
      <c r="N299" s="599"/>
      <c r="O299" s="598">
        <f>H299*I299*J299*K299</f>
        <v>0</v>
      </c>
    </row>
    <row r="300" spans="1:15" ht="12.75" customHeight="1">
      <c r="A300" s="342"/>
      <c r="B300" s="342"/>
      <c r="C300" s="1000"/>
      <c r="D300" s="1000"/>
      <c r="E300" s="1000"/>
      <c r="F300" s="1000"/>
      <c r="G300" s="343"/>
      <c r="H300" s="597"/>
      <c r="I300" s="596"/>
      <c r="J300" s="596"/>
      <c r="K300" s="600"/>
      <c r="L300" s="598"/>
      <c r="M300" s="598"/>
      <c r="N300" s="599"/>
      <c r="O300" s="598">
        <f>H300*I300*J300*K300</f>
        <v>0</v>
      </c>
    </row>
    <row r="301" spans="1:15" s="109" customFormat="1" ht="33.75" customHeight="1">
      <c r="A301" s="377">
        <f>ORÇAMENTO!A73</f>
        <v>11483</v>
      </c>
      <c r="B301" s="377" t="str">
        <f>ORÇAMENTO!C73</f>
        <v>4.02.04</v>
      </c>
      <c r="C301" s="1004" t="str">
        <f>ORÇAMENTO!D73</f>
        <v>CONCRETO SIMPLES USINADO FCK=35MPA, BOMBEADO, LANÇADO E ADENSADO NA INFRAESTRUTURA - FUNDAÇÕES</v>
      </c>
      <c r="D301" s="1004"/>
      <c r="E301" s="1004"/>
      <c r="F301" s="1004"/>
      <c r="G301" s="377" t="str">
        <f>ORÇAMENTO!E73</f>
        <v>M³</v>
      </c>
      <c r="H301" s="380"/>
      <c r="I301" s="387"/>
      <c r="J301" s="380"/>
      <c r="K301" s="388"/>
      <c r="L301" s="380"/>
      <c r="M301" s="379"/>
      <c r="N301" s="380"/>
      <c r="O301" s="380">
        <f>SUM(O302:O326)</f>
        <v>30.632104000000002</v>
      </c>
    </row>
    <row r="302" spans="1:15" s="109" customFormat="1" ht="15" customHeight="1">
      <c r="A302" s="342"/>
      <c r="B302" s="342"/>
      <c r="C302" s="1029" t="s">
        <v>1530</v>
      </c>
      <c r="D302" s="1029"/>
      <c r="E302" s="1029"/>
      <c r="F302" s="1029"/>
      <c r="G302" s="389"/>
      <c r="H302" s="601"/>
      <c r="I302" s="597"/>
      <c r="J302" s="587"/>
      <c r="K302" s="598"/>
      <c r="L302" s="583"/>
      <c r="M302" s="583"/>
      <c r="N302" s="589"/>
      <c r="O302" s="592">
        <f>H302*I302*J302*K302</f>
        <v>0</v>
      </c>
    </row>
    <row r="303" spans="1:15" s="109" customFormat="1" ht="27.75" customHeight="1">
      <c r="A303" s="342"/>
      <c r="B303" s="342"/>
      <c r="C303" s="1095" t="s">
        <v>1580</v>
      </c>
      <c r="D303" s="1095"/>
      <c r="E303" s="1095"/>
      <c r="F303" s="1095"/>
      <c r="G303" s="389" t="s">
        <v>109</v>
      </c>
      <c r="H303" s="587">
        <v>28</v>
      </c>
      <c r="I303" s="587">
        <v>0.6</v>
      </c>
      <c r="J303" s="587">
        <v>0.6</v>
      </c>
      <c r="K303" s="587">
        <v>0.4</v>
      </c>
      <c r="L303" s="583"/>
      <c r="M303" s="583"/>
      <c r="N303" s="589"/>
      <c r="O303" s="592">
        <f>H303*I303*J303*K303</f>
        <v>4.032</v>
      </c>
    </row>
    <row r="304" spans="1:15" s="109" customFormat="1" ht="30" customHeight="1">
      <c r="A304" s="342"/>
      <c r="B304" s="342"/>
      <c r="C304" s="1095" t="s">
        <v>1581</v>
      </c>
      <c r="D304" s="1095"/>
      <c r="E304" s="1095"/>
      <c r="F304" s="1095"/>
      <c r="G304" s="389" t="s">
        <v>109</v>
      </c>
      <c r="H304" s="587">
        <v>20</v>
      </c>
      <c r="I304" s="587">
        <v>0.7</v>
      </c>
      <c r="J304" s="587">
        <v>0.7</v>
      </c>
      <c r="K304" s="587">
        <v>0.4</v>
      </c>
      <c r="L304" s="583"/>
      <c r="M304" s="583"/>
      <c r="N304" s="589"/>
      <c r="O304" s="592">
        <f>H304*I304*J304*K304</f>
        <v>3.92</v>
      </c>
    </row>
    <row r="305" spans="1:15" s="109" customFormat="1" ht="15" customHeight="1">
      <c r="A305" s="342"/>
      <c r="B305" s="342"/>
      <c r="C305" s="1000" t="s">
        <v>1582</v>
      </c>
      <c r="D305" s="1000"/>
      <c r="E305" s="1000"/>
      <c r="F305" s="1000"/>
      <c r="G305" s="389" t="s">
        <v>109</v>
      </c>
      <c r="H305" s="587">
        <v>10</v>
      </c>
      <c r="I305" s="587">
        <v>0.8</v>
      </c>
      <c r="J305" s="587">
        <v>0.8</v>
      </c>
      <c r="K305" s="587">
        <v>0.4</v>
      </c>
      <c r="L305" s="583"/>
      <c r="M305" s="583"/>
      <c r="N305" s="589"/>
      <c r="O305" s="592">
        <f t="shared" ref="O305:O326" si="14">H305*I305*J305*K305</f>
        <v>2.5600000000000005</v>
      </c>
    </row>
    <row r="306" spans="1:15" s="109" customFormat="1" ht="15" customHeight="1">
      <c r="A306" s="342"/>
      <c r="B306" s="342"/>
      <c r="C306" s="1000" t="s">
        <v>1583</v>
      </c>
      <c r="D306" s="1000"/>
      <c r="E306" s="1000"/>
      <c r="F306" s="1000"/>
      <c r="G306" s="389" t="s">
        <v>109</v>
      </c>
      <c r="H306" s="587">
        <v>6</v>
      </c>
      <c r="I306" s="587">
        <v>0.9</v>
      </c>
      <c r="J306" s="587">
        <v>0.9</v>
      </c>
      <c r="K306" s="587">
        <v>0.4</v>
      </c>
      <c r="L306" s="583"/>
      <c r="M306" s="583"/>
      <c r="N306" s="589"/>
      <c r="O306" s="592">
        <f t="shared" si="14"/>
        <v>1.9440000000000002</v>
      </c>
    </row>
    <row r="307" spans="1:15" s="109" customFormat="1" ht="15" customHeight="1">
      <c r="A307" s="342"/>
      <c r="B307" s="342"/>
      <c r="C307" s="1000" t="s">
        <v>1584</v>
      </c>
      <c r="D307" s="1000"/>
      <c r="E307" s="1000"/>
      <c r="F307" s="1000"/>
      <c r="G307" s="389" t="s">
        <v>109</v>
      </c>
      <c r="H307" s="587">
        <v>6</v>
      </c>
      <c r="I307" s="587">
        <v>1.1000000000000001</v>
      </c>
      <c r="J307" s="587">
        <v>1.1000000000000001</v>
      </c>
      <c r="K307" s="587">
        <v>0.4</v>
      </c>
      <c r="L307" s="583"/>
      <c r="M307" s="583"/>
      <c r="N307" s="589"/>
      <c r="O307" s="592">
        <f t="shared" si="14"/>
        <v>2.9040000000000008</v>
      </c>
    </row>
    <row r="308" spans="1:15" s="109" customFormat="1" ht="15" customHeight="1">
      <c r="A308" s="342"/>
      <c r="B308" s="396"/>
      <c r="C308" s="1000" t="s">
        <v>1546</v>
      </c>
      <c r="D308" s="1000"/>
      <c r="E308" s="1000"/>
      <c r="F308" s="1000"/>
      <c r="G308" s="389" t="s">
        <v>109</v>
      </c>
      <c r="H308" s="587">
        <v>1</v>
      </c>
      <c r="I308" s="587">
        <v>1.3</v>
      </c>
      <c r="J308" s="587">
        <v>1.3</v>
      </c>
      <c r="K308" s="587">
        <v>0.4</v>
      </c>
      <c r="L308" s="583"/>
      <c r="M308" s="583"/>
      <c r="N308" s="589"/>
      <c r="O308" s="592">
        <f t="shared" si="14"/>
        <v>0.67600000000000016</v>
      </c>
    </row>
    <row r="309" spans="1:15" s="109" customFormat="1" ht="15" customHeight="1">
      <c r="A309" s="342"/>
      <c r="B309" s="396"/>
      <c r="C309" s="1000" t="s">
        <v>1542</v>
      </c>
      <c r="D309" s="1000"/>
      <c r="E309" s="1000"/>
      <c r="F309" s="1000"/>
      <c r="G309" s="389" t="s">
        <v>109</v>
      </c>
      <c r="H309" s="587">
        <v>1</v>
      </c>
      <c r="I309" s="587">
        <v>1.7</v>
      </c>
      <c r="J309" s="587">
        <v>1.7</v>
      </c>
      <c r="K309" s="587">
        <v>0.4</v>
      </c>
      <c r="L309" s="583"/>
      <c r="M309" s="583"/>
      <c r="N309" s="589"/>
      <c r="O309" s="592">
        <f t="shared" si="14"/>
        <v>1.1559999999999999</v>
      </c>
    </row>
    <row r="310" spans="1:15" s="109" customFormat="1" ht="15" customHeight="1">
      <c r="A310" s="342"/>
      <c r="B310" s="396"/>
      <c r="C310" s="1000" t="s">
        <v>1544</v>
      </c>
      <c r="D310" s="1000"/>
      <c r="E310" s="1000"/>
      <c r="F310" s="1000"/>
      <c r="G310" s="389" t="s">
        <v>109</v>
      </c>
      <c r="H310" s="587">
        <v>1</v>
      </c>
      <c r="I310" s="587">
        <v>1.85</v>
      </c>
      <c r="J310" s="587">
        <v>1.85</v>
      </c>
      <c r="K310" s="587">
        <v>0.4</v>
      </c>
      <c r="L310" s="583"/>
      <c r="M310" s="583"/>
      <c r="N310" s="589"/>
      <c r="O310" s="592">
        <f t="shared" si="14"/>
        <v>1.3690000000000002</v>
      </c>
    </row>
    <row r="311" spans="1:15" s="109" customFormat="1" ht="15" customHeight="1">
      <c r="A311" s="342"/>
      <c r="B311" s="396"/>
      <c r="C311" s="1029" t="s">
        <v>1585</v>
      </c>
      <c r="D311" s="1029"/>
      <c r="E311" s="1029"/>
      <c r="F311" s="1029"/>
      <c r="G311" s="343"/>
      <c r="H311" s="587"/>
      <c r="I311" s="587"/>
      <c r="J311" s="587"/>
      <c r="K311" s="587"/>
      <c r="L311" s="583"/>
      <c r="M311" s="583"/>
      <c r="N311" s="589"/>
      <c r="O311" s="592"/>
    </row>
    <row r="312" spans="1:15" s="109" customFormat="1" ht="15" customHeight="1">
      <c r="A312" s="342"/>
      <c r="B312" s="396"/>
      <c r="C312" s="1000" t="s">
        <v>1586</v>
      </c>
      <c r="D312" s="1000"/>
      <c r="E312" s="1000"/>
      <c r="F312" s="1000"/>
      <c r="G312" s="389" t="s">
        <v>109</v>
      </c>
      <c r="H312" s="587">
        <v>5</v>
      </c>
      <c r="I312" s="587">
        <v>1</v>
      </c>
      <c r="J312" s="587">
        <v>1</v>
      </c>
      <c r="K312" s="587">
        <v>0.65</v>
      </c>
      <c r="L312" s="583"/>
      <c r="M312" s="583"/>
      <c r="N312" s="589"/>
      <c r="O312" s="592">
        <f t="shared" si="14"/>
        <v>3.25</v>
      </c>
    </row>
    <row r="313" spans="1:15" s="109" customFormat="1" ht="15" customHeight="1">
      <c r="A313" s="342"/>
      <c r="B313" s="396"/>
      <c r="C313" s="1029" t="s">
        <v>1588</v>
      </c>
      <c r="D313" s="1029"/>
      <c r="E313" s="1029"/>
      <c r="F313" s="1029"/>
      <c r="G313" s="343"/>
      <c r="H313" s="587"/>
      <c r="I313" s="587"/>
      <c r="J313" s="587"/>
      <c r="K313" s="587"/>
      <c r="L313" s="583"/>
      <c r="M313" s="583"/>
      <c r="N313" s="589"/>
      <c r="O313" s="592">
        <f t="shared" si="14"/>
        <v>0</v>
      </c>
    </row>
    <row r="314" spans="1:15" s="109" customFormat="1" ht="15" customHeight="1">
      <c r="A314" s="342"/>
      <c r="B314" s="396"/>
      <c r="C314" s="1000" t="s">
        <v>1589</v>
      </c>
      <c r="D314" s="1000"/>
      <c r="E314" s="1000"/>
      <c r="F314" s="1000"/>
      <c r="G314" s="343" t="s">
        <v>109</v>
      </c>
      <c r="H314" s="587">
        <v>52</v>
      </c>
      <c r="I314" s="587">
        <v>0.14000000000000001</v>
      </c>
      <c r="J314" s="587">
        <v>0.26</v>
      </c>
      <c r="K314" s="587">
        <f>2.73</f>
        <v>2.73</v>
      </c>
      <c r="L314" s="583"/>
      <c r="M314" s="583"/>
      <c r="N314" s="589"/>
      <c r="O314" s="592">
        <f t="shared" si="14"/>
        <v>5.1673440000000008</v>
      </c>
    </row>
    <row r="315" spans="1:15" s="109" customFormat="1" ht="15" customHeight="1">
      <c r="A315" s="342"/>
      <c r="B315" s="396"/>
      <c r="C315" s="1000" t="s">
        <v>1590</v>
      </c>
      <c r="D315" s="1000"/>
      <c r="E315" s="1000"/>
      <c r="F315" s="1000"/>
      <c r="G315" s="343" t="s">
        <v>109</v>
      </c>
      <c r="H315" s="587">
        <v>2</v>
      </c>
      <c r="I315" s="587">
        <v>0.19</v>
      </c>
      <c r="J315" s="587">
        <v>0.4</v>
      </c>
      <c r="K315" s="587">
        <f>2.83</f>
        <v>2.83</v>
      </c>
      <c r="L315" s="583"/>
      <c r="M315" s="583"/>
      <c r="N315" s="589"/>
      <c r="O315" s="592">
        <f t="shared" si="14"/>
        <v>0.4301600000000001</v>
      </c>
    </row>
    <row r="316" spans="1:15" s="109" customFormat="1" ht="15" customHeight="1">
      <c r="A316" s="342"/>
      <c r="B316" s="396"/>
      <c r="C316" s="1000" t="s">
        <v>1591</v>
      </c>
      <c r="D316" s="1000"/>
      <c r="E316" s="1000"/>
      <c r="F316" s="1000"/>
      <c r="G316" s="343" t="s">
        <v>109</v>
      </c>
      <c r="H316" s="587">
        <v>2</v>
      </c>
      <c r="I316" s="587">
        <v>0.19</v>
      </c>
      <c r="J316" s="587">
        <v>0.6</v>
      </c>
      <c r="K316" s="587">
        <f>2.83</f>
        <v>2.83</v>
      </c>
      <c r="L316" s="583"/>
      <c r="M316" s="583"/>
      <c r="N316" s="589"/>
      <c r="O316" s="592">
        <f t="shared" si="14"/>
        <v>0.64523999999999992</v>
      </c>
    </row>
    <row r="317" spans="1:15" s="109" customFormat="1" ht="15" customHeight="1">
      <c r="A317" s="342"/>
      <c r="B317" s="396"/>
      <c r="C317" s="1000" t="s">
        <v>1592</v>
      </c>
      <c r="D317" s="1000"/>
      <c r="E317" s="1000"/>
      <c r="F317" s="1000"/>
      <c r="G317" s="343" t="s">
        <v>109</v>
      </c>
      <c r="H317" s="587">
        <v>1</v>
      </c>
      <c r="I317" s="587">
        <v>0.14000000000000001</v>
      </c>
      <c r="J317" s="587">
        <v>0.4</v>
      </c>
      <c r="K317" s="587">
        <f>2.83</f>
        <v>2.83</v>
      </c>
      <c r="L317" s="583"/>
      <c r="M317" s="583"/>
      <c r="N317" s="589"/>
      <c r="O317" s="592">
        <f t="shared" si="14"/>
        <v>0.15848000000000004</v>
      </c>
    </row>
    <row r="318" spans="1:15" s="109" customFormat="1" ht="15" customHeight="1">
      <c r="A318" s="342"/>
      <c r="B318" s="396"/>
      <c r="C318" s="1000" t="s">
        <v>1593</v>
      </c>
      <c r="D318" s="1000"/>
      <c r="E318" s="1000"/>
      <c r="F318" s="1000"/>
      <c r="G318" s="343" t="s">
        <v>109</v>
      </c>
      <c r="H318" s="587">
        <v>2</v>
      </c>
      <c r="I318" s="587">
        <v>0.25</v>
      </c>
      <c r="J318" s="587">
        <v>0.25</v>
      </c>
      <c r="K318" s="587">
        <f>3.03</f>
        <v>3.03</v>
      </c>
      <c r="L318" s="583"/>
      <c r="M318" s="583"/>
      <c r="N318" s="589"/>
      <c r="O318" s="592">
        <f t="shared" si="14"/>
        <v>0.37874999999999998</v>
      </c>
    </row>
    <row r="319" spans="1:15" s="109" customFormat="1" ht="15" customHeight="1">
      <c r="A319" s="342"/>
      <c r="B319" s="396"/>
      <c r="C319" s="1000" t="s">
        <v>1594</v>
      </c>
      <c r="D319" s="1000"/>
      <c r="E319" s="1000"/>
      <c r="F319" s="1000"/>
      <c r="G319" s="343" t="s">
        <v>109</v>
      </c>
      <c r="H319" s="587">
        <v>9</v>
      </c>
      <c r="I319" s="587">
        <v>0.14000000000000001</v>
      </c>
      <c r="J319" s="587">
        <v>0.35</v>
      </c>
      <c r="K319" s="587">
        <f>2.73</f>
        <v>2.73</v>
      </c>
      <c r="L319" s="583"/>
      <c r="M319" s="583"/>
      <c r="N319" s="589"/>
      <c r="O319" s="592">
        <f t="shared" si="14"/>
        <v>1.2039300000000002</v>
      </c>
    </row>
    <row r="320" spans="1:15" s="109" customFormat="1" ht="15" customHeight="1">
      <c r="A320" s="342"/>
      <c r="B320" s="396"/>
      <c r="C320" s="1000" t="s">
        <v>1595</v>
      </c>
      <c r="D320" s="1000"/>
      <c r="E320" s="1000"/>
      <c r="F320" s="1000"/>
      <c r="G320" s="343" t="s">
        <v>109</v>
      </c>
      <c r="H320" s="587">
        <v>1</v>
      </c>
      <c r="I320" s="587">
        <v>0.14000000000000001</v>
      </c>
      <c r="J320" s="587">
        <v>0.4</v>
      </c>
      <c r="K320" s="587">
        <v>3.03</v>
      </c>
      <c r="L320" s="583"/>
      <c r="M320" s="583"/>
      <c r="N320" s="589"/>
      <c r="O320" s="592">
        <f t="shared" si="14"/>
        <v>0.16968000000000003</v>
      </c>
    </row>
    <row r="321" spans="1:15" s="109" customFormat="1" ht="15" customHeight="1">
      <c r="A321" s="342"/>
      <c r="B321" s="396"/>
      <c r="C321" s="1000" t="s">
        <v>1596</v>
      </c>
      <c r="D321" s="1000"/>
      <c r="E321" s="1000"/>
      <c r="F321" s="1000"/>
      <c r="G321" s="343" t="s">
        <v>109</v>
      </c>
      <c r="H321" s="587">
        <v>1</v>
      </c>
      <c r="I321" s="587">
        <v>0.14000000000000001</v>
      </c>
      <c r="J321" s="587">
        <v>0.4</v>
      </c>
      <c r="K321" s="587">
        <v>3.03</v>
      </c>
      <c r="L321" s="583"/>
      <c r="M321" s="583"/>
      <c r="N321" s="589"/>
      <c r="O321" s="592">
        <f t="shared" si="14"/>
        <v>0.16968000000000003</v>
      </c>
    </row>
    <row r="322" spans="1:15" s="109" customFormat="1" ht="15" customHeight="1">
      <c r="A322" s="342"/>
      <c r="B322" s="396"/>
      <c r="C322" s="1000" t="s">
        <v>1597</v>
      </c>
      <c r="D322" s="1000"/>
      <c r="E322" s="1000"/>
      <c r="F322" s="1000"/>
      <c r="G322" s="343" t="s">
        <v>109</v>
      </c>
      <c r="H322" s="587">
        <v>1</v>
      </c>
      <c r="I322" s="587">
        <v>0.14000000000000001</v>
      </c>
      <c r="J322" s="587">
        <v>0.45</v>
      </c>
      <c r="K322" s="587">
        <v>3.03</v>
      </c>
      <c r="L322" s="583"/>
      <c r="M322" s="583"/>
      <c r="N322" s="589"/>
      <c r="O322" s="592">
        <f t="shared" si="14"/>
        <v>0.19089000000000003</v>
      </c>
    </row>
    <row r="323" spans="1:15" s="109" customFormat="1" ht="15" customHeight="1">
      <c r="A323" s="342"/>
      <c r="B323" s="396"/>
      <c r="C323" s="1000" t="s">
        <v>1598</v>
      </c>
      <c r="D323" s="1000"/>
      <c r="E323" s="1000"/>
      <c r="F323" s="1000"/>
      <c r="G323" s="343" t="s">
        <v>109</v>
      </c>
      <c r="H323" s="587">
        <v>1</v>
      </c>
      <c r="I323" s="587">
        <v>0.14000000000000001</v>
      </c>
      <c r="J323" s="587">
        <v>0.4</v>
      </c>
      <c r="K323" s="587">
        <v>2.83</v>
      </c>
      <c r="L323" s="583"/>
      <c r="M323" s="583"/>
      <c r="N323" s="589"/>
      <c r="O323" s="592">
        <f t="shared" si="14"/>
        <v>0.15848000000000004</v>
      </c>
    </row>
    <row r="324" spans="1:15" s="109" customFormat="1" ht="15" customHeight="1">
      <c r="A324" s="342"/>
      <c r="B324" s="396"/>
      <c r="C324" s="1000" t="s">
        <v>1599</v>
      </c>
      <c r="D324" s="1000"/>
      <c r="E324" s="1000"/>
      <c r="F324" s="1000"/>
      <c r="G324" s="343" t="s">
        <v>109</v>
      </c>
      <c r="H324" s="587">
        <v>1</v>
      </c>
      <c r="I324" s="587">
        <v>0.14000000000000001</v>
      </c>
      <c r="J324" s="587">
        <v>0.35</v>
      </c>
      <c r="K324" s="587">
        <v>3.03</v>
      </c>
      <c r="L324" s="583"/>
      <c r="M324" s="583"/>
      <c r="N324" s="589"/>
      <c r="O324" s="592">
        <f t="shared" si="14"/>
        <v>0.14846999999999999</v>
      </c>
    </row>
    <row r="325" spans="1:15" s="109" customFormat="1" ht="15" customHeight="1">
      <c r="A325" s="342"/>
      <c r="B325" s="396"/>
      <c r="C325" s="1000"/>
      <c r="D325" s="1000"/>
      <c r="E325" s="1000"/>
      <c r="F325" s="1000"/>
      <c r="G325" s="343"/>
      <c r="H325" s="587"/>
      <c r="I325" s="587"/>
      <c r="J325" s="587"/>
      <c r="K325" s="587"/>
      <c r="L325" s="583"/>
      <c r="M325" s="583"/>
      <c r="N325" s="589"/>
      <c r="O325" s="592">
        <f t="shared" si="14"/>
        <v>0</v>
      </c>
    </row>
    <row r="326" spans="1:15" s="109" customFormat="1" ht="15" customHeight="1">
      <c r="A326" s="342"/>
      <c r="B326" s="396"/>
      <c r="C326" s="1000"/>
      <c r="D326" s="1000"/>
      <c r="E326" s="1000"/>
      <c r="F326" s="1000"/>
      <c r="G326" s="343"/>
      <c r="H326" s="587"/>
      <c r="I326" s="587"/>
      <c r="J326" s="587"/>
      <c r="K326" s="587"/>
      <c r="L326" s="583"/>
      <c r="M326" s="583"/>
      <c r="N326" s="589"/>
      <c r="O326" s="592">
        <f t="shared" si="14"/>
        <v>0</v>
      </c>
    </row>
    <row r="327" spans="1:15" s="109" customFormat="1" ht="32.25" customHeight="1">
      <c r="A327" s="377">
        <f>ORÇAMENTO!A74</f>
        <v>11640</v>
      </c>
      <c r="B327" s="377" t="str">
        <f>ORÇAMENTO!C74</f>
        <v>4.02.05</v>
      </c>
      <c r="C327" s="1004" t="str">
        <f>ORÇAMENTO!D74</f>
        <v>FORMA PLANA PARA ESTRUTURAS, EM COMPENSADO PLASTIFICADO DE 10MM, 02 USOS, INCLUSIVE ESCORAMENTO - REVISADA 07.2015</v>
      </c>
      <c r="D327" s="1004"/>
      <c r="E327" s="1004"/>
      <c r="F327" s="1004"/>
      <c r="G327" s="377" t="str">
        <f>ORÇAMENTO!E74</f>
        <v>M²</v>
      </c>
      <c r="H327" s="397"/>
      <c r="I327" s="398"/>
      <c r="J327" s="397"/>
      <c r="K327" s="397"/>
      <c r="L327" s="397"/>
      <c r="M327" s="399"/>
      <c r="N327" s="380">
        <f>SUM(N328:N355)</f>
        <v>893.94859999999971</v>
      </c>
      <c r="O327" s="397"/>
    </row>
    <row r="328" spans="1:15" s="109" customFormat="1">
      <c r="A328" s="376"/>
      <c r="B328" s="342"/>
      <c r="C328" s="1029" t="s">
        <v>1551</v>
      </c>
      <c r="D328" s="1029"/>
      <c r="E328" s="1029"/>
      <c r="F328" s="1029"/>
      <c r="G328" s="389"/>
      <c r="H328" s="587"/>
      <c r="I328" s="587"/>
      <c r="J328" s="587"/>
      <c r="K328" s="587"/>
      <c r="L328" s="587"/>
      <c r="M328" s="587"/>
      <c r="N328" s="592"/>
      <c r="O328" s="402"/>
    </row>
    <row r="329" spans="1:15" s="109" customFormat="1">
      <c r="A329" s="376"/>
      <c r="B329" s="342"/>
      <c r="C329" s="1000" t="s">
        <v>1579</v>
      </c>
      <c r="D329" s="1000"/>
      <c r="E329" s="1000"/>
      <c r="F329" s="1000"/>
      <c r="G329" s="389" t="s">
        <v>109</v>
      </c>
      <c r="H329" s="597"/>
      <c r="I329" s="597">
        <v>0.4</v>
      </c>
      <c r="J329" s="587">
        <f>165.87+1.93+11.83+18.18+5+5+5+6.8+12.17+9.95+1.75+3.9+1.05+26.34+9.6+5.33+2.65+2.65+2.65+1.85+6.98+11.88+25.39+2.4+5.08+4.6+13.14+3.5+6.32+16.96+1.36+12.71+2.55+2.55+2.55+22.65+4.06+2.6+12.84+4.88+4.18+3.5+5+1.6+4.2</f>
        <v>482.97999999999996</v>
      </c>
      <c r="K329" s="598">
        <f>0.1+0.4</f>
        <v>0.5</v>
      </c>
      <c r="L329" s="583"/>
      <c r="M329" s="583"/>
      <c r="N329" s="602">
        <f>(J329*K329)+(J329*K329)</f>
        <v>482.97999999999996</v>
      </c>
      <c r="O329" s="402"/>
    </row>
    <row r="330" spans="1:15" s="109" customFormat="1" ht="15" customHeight="1">
      <c r="A330" s="376"/>
      <c r="B330" s="342"/>
      <c r="C330" s="1029" t="s">
        <v>1530</v>
      </c>
      <c r="D330" s="1029"/>
      <c r="E330" s="1029"/>
      <c r="F330" s="1029"/>
      <c r="G330" s="389"/>
      <c r="H330" s="601"/>
      <c r="I330" s="597"/>
      <c r="J330" s="587"/>
      <c r="K330" s="598"/>
      <c r="L330" s="603"/>
      <c r="M330" s="604"/>
      <c r="N330" s="605"/>
      <c r="O330" s="402"/>
    </row>
    <row r="331" spans="1:15" s="109" customFormat="1" ht="25.5" customHeight="1">
      <c r="A331" s="342"/>
      <c r="B331" s="342"/>
      <c r="C331" s="1095" t="s">
        <v>1580</v>
      </c>
      <c r="D331" s="1095"/>
      <c r="E331" s="1095"/>
      <c r="F331" s="1095"/>
      <c r="G331" s="389" t="s">
        <v>109</v>
      </c>
      <c r="H331" s="587">
        <v>28</v>
      </c>
      <c r="I331" s="587">
        <f>0.6+0.1</f>
        <v>0.7</v>
      </c>
      <c r="J331" s="587">
        <f>0.6+0.1</f>
        <v>0.7</v>
      </c>
      <c r="K331" s="587">
        <f>0.1+0.4</f>
        <v>0.5</v>
      </c>
      <c r="L331" s="606"/>
      <c r="M331" s="606"/>
      <c r="N331" s="602">
        <f>(((I331+J331)*2)*K331)*H331</f>
        <v>39.199999999999996</v>
      </c>
      <c r="O331" s="403"/>
    </row>
    <row r="332" spans="1:15" s="109" customFormat="1" ht="27" customHeight="1">
      <c r="A332" s="342"/>
      <c r="B332" s="342"/>
      <c r="C332" s="1095" t="s">
        <v>1581</v>
      </c>
      <c r="D332" s="1095"/>
      <c r="E332" s="1095"/>
      <c r="F332" s="1095"/>
      <c r="G332" s="389" t="s">
        <v>109</v>
      </c>
      <c r="H332" s="587">
        <v>20</v>
      </c>
      <c r="I332" s="587">
        <f>0.1+0.7</f>
        <v>0.79999999999999993</v>
      </c>
      <c r="J332" s="587">
        <f>0.1+0.7</f>
        <v>0.79999999999999993</v>
      </c>
      <c r="K332" s="587">
        <f t="shared" ref="K332:K338" si="15">0.1+0.4</f>
        <v>0.5</v>
      </c>
      <c r="L332" s="606"/>
      <c r="M332" s="606"/>
      <c r="N332" s="602">
        <f t="shared" ref="N332:N352" si="16">(((I332+J332)*2)*K332)*H332</f>
        <v>31.999999999999996</v>
      </c>
      <c r="O332" s="403"/>
    </row>
    <row r="333" spans="1:15" s="109" customFormat="1" ht="15" customHeight="1">
      <c r="A333" s="342"/>
      <c r="B333" s="342"/>
      <c r="C333" s="1000" t="s">
        <v>1582</v>
      </c>
      <c r="D333" s="1000"/>
      <c r="E333" s="1000"/>
      <c r="F333" s="1000"/>
      <c r="G333" s="389" t="s">
        <v>109</v>
      </c>
      <c r="H333" s="587">
        <v>10</v>
      </c>
      <c r="I333" s="587">
        <f>0.1+0.8</f>
        <v>0.9</v>
      </c>
      <c r="J333" s="587">
        <f>0.1+0.8</f>
        <v>0.9</v>
      </c>
      <c r="K333" s="587">
        <f t="shared" si="15"/>
        <v>0.5</v>
      </c>
      <c r="L333" s="598"/>
      <c r="M333" s="598"/>
      <c r="N333" s="602">
        <f t="shared" si="16"/>
        <v>18</v>
      </c>
      <c r="O333" s="598"/>
    </row>
    <row r="334" spans="1:15" s="109" customFormat="1" ht="15" customHeight="1">
      <c r="A334" s="342"/>
      <c r="B334" s="342"/>
      <c r="C334" s="1000" t="s">
        <v>1583</v>
      </c>
      <c r="D334" s="1000"/>
      <c r="E334" s="1000"/>
      <c r="F334" s="1000"/>
      <c r="G334" s="389" t="s">
        <v>109</v>
      </c>
      <c r="H334" s="587">
        <v>6</v>
      </c>
      <c r="I334" s="587">
        <f>0.1+0.9</f>
        <v>1</v>
      </c>
      <c r="J334" s="587">
        <f>0.1+0.9</f>
        <v>1</v>
      </c>
      <c r="K334" s="587">
        <f t="shared" si="15"/>
        <v>0.5</v>
      </c>
      <c r="L334" s="587"/>
      <c r="M334" s="587"/>
      <c r="N334" s="602">
        <f t="shared" si="16"/>
        <v>12</v>
      </c>
      <c r="O334" s="400"/>
    </row>
    <row r="335" spans="1:15" s="109" customFormat="1" ht="14.45" customHeight="1">
      <c r="A335" s="342"/>
      <c r="B335" s="342"/>
      <c r="C335" s="1000" t="s">
        <v>1584</v>
      </c>
      <c r="D335" s="1000"/>
      <c r="E335" s="1000"/>
      <c r="F335" s="1000"/>
      <c r="G335" s="389" t="s">
        <v>109</v>
      </c>
      <c r="H335" s="587">
        <v>6</v>
      </c>
      <c r="I335" s="587">
        <f>0.1+1.1</f>
        <v>1.2000000000000002</v>
      </c>
      <c r="J335" s="587">
        <f>0.1+1.1</f>
        <v>1.2000000000000002</v>
      </c>
      <c r="K335" s="587">
        <f t="shared" si="15"/>
        <v>0.5</v>
      </c>
      <c r="L335" s="587"/>
      <c r="M335" s="587"/>
      <c r="N335" s="602">
        <f t="shared" si="16"/>
        <v>14.400000000000002</v>
      </c>
      <c r="O335" s="400"/>
    </row>
    <row r="336" spans="1:15" s="109" customFormat="1" ht="14.45" customHeight="1">
      <c r="A336" s="342"/>
      <c r="B336" s="396"/>
      <c r="C336" s="1000" t="s">
        <v>1546</v>
      </c>
      <c r="D336" s="1000"/>
      <c r="E336" s="1000"/>
      <c r="F336" s="1000"/>
      <c r="G336" s="389" t="s">
        <v>109</v>
      </c>
      <c r="H336" s="587">
        <v>1</v>
      </c>
      <c r="I336" s="587">
        <f>0.1+1.3</f>
        <v>1.4000000000000001</v>
      </c>
      <c r="J336" s="587">
        <f>0.1+1.3</f>
        <v>1.4000000000000001</v>
      </c>
      <c r="K336" s="587">
        <f t="shared" si="15"/>
        <v>0.5</v>
      </c>
      <c r="L336" s="587"/>
      <c r="M336" s="587"/>
      <c r="N336" s="602">
        <f t="shared" si="16"/>
        <v>2.8000000000000003</v>
      </c>
      <c r="O336" s="400"/>
    </row>
    <row r="337" spans="1:15" s="109" customFormat="1" ht="14.45" customHeight="1">
      <c r="A337" s="342"/>
      <c r="B337" s="396"/>
      <c r="C337" s="1000" t="s">
        <v>1542</v>
      </c>
      <c r="D337" s="1000"/>
      <c r="E337" s="1000"/>
      <c r="F337" s="1000"/>
      <c r="G337" s="389" t="s">
        <v>109</v>
      </c>
      <c r="H337" s="587">
        <v>1</v>
      </c>
      <c r="I337" s="587">
        <f>0.1+1.7</f>
        <v>1.8</v>
      </c>
      <c r="J337" s="587">
        <f>0.1+1.7</f>
        <v>1.8</v>
      </c>
      <c r="K337" s="587">
        <f t="shared" si="15"/>
        <v>0.5</v>
      </c>
      <c r="L337" s="587"/>
      <c r="M337" s="587"/>
      <c r="N337" s="602">
        <f t="shared" si="16"/>
        <v>3.6</v>
      </c>
      <c r="O337" s="400"/>
    </row>
    <row r="338" spans="1:15" s="109" customFormat="1" ht="14.45" customHeight="1">
      <c r="A338" s="342"/>
      <c r="B338" s="396"/>
      <c r="C338" s="1000" t="s">
        <v>1544</v>
      </c>
      <c r="D338" s="1000"/>
      <c r="E338" s="1000"/>
      <c r="F338" s="1000"/>
      <c r="G338" s="389" t="s">
        <v>109</v>
      </c>
      <c r="H338" s="587">
        <v>1</v>
      </c>
      <c r="I338" s="587">
        <f>0.1+1.85</f>
        <v>1.9500000000000002</v>
      </c>
      <c r="J338" s="587">
        <f>0.1+1.85</f>
        <v>1.9500000000000002</v>
      </c>
      <c r="K338" s="587">
        <f t="shared" si="15"/>
        <v>0.5</v>
      </c>
      <c r="L338" s="587"/>
      <c r="M338" s="587"/>
      <c r="N338" s="602">
        <f t="shared" si="16"/>
        <v>3.9000000000000004</v>
      </c>
      <c r="O338" s="400"/>
    </row>
    <row r="339" spans="1:15" s="109" customFormat="1" ht="15" customHeight="1">
      <c r="A339" s="342"/>
      <c r="B339" s="396"/>
      <c r="C339" s="1029" t="s">
        <v>1585</v>
      </c>
      <c r="D339" s="1029"/>
      <c r="E339" s="1029"/>
      <c r="F339" s="1029"/>
      <c r="G339" s="343"/>
      <c r="H339" s="587"/>
      <c r="I339" s="587"/>
      <c r="J339" s="587"/>
      <c r="K339" s="587"/>
      <c r="L339" s="587"/>
      <c r="M339" s="587"/>
      <c r="N339" s="602"/>
      <c r="O339" s="400"/>
    </row>
    <row r="340" spans="1:15" s="109" customFormat="1" ht="12.75" customHeight="1">
      <c r="A340" s="342"/>
      <c r="B340" s="396"/>
      <c r="C340" s="1000" t="s">
        <v>1586</v>
      </c>
      <c r="D340" s="1000"/>
      <c r="E340" s="1000"/>
      <c r="F340" s="1000"/>
      <c r="G340" s="389" t="s">
        <v>109</v>
      </c>
      <c r="H340" s="587">
        <v>5</v>
      </c>
      <c r="I340" s="587">
        <f>0.1+1</f>
        <v>1.1000000000000001</v>
      </c>
      <c r="J340" s="587">
        <f>0.1+1</f>
        <v>1.1000000000000001</v>
      </c>
      <c r="K340" s="587">
        <f>0.1+0.65</f>
        <v>0.75</v>
      </c>
      <c r="L340" s="587"/>
      <c r="M340" s="587"/>
      <c r="N340" s="602">
        <f t="shared" si="16"/>
        <v>16.5</v>
      </c>
      <c r="O340" s="592"/>
    </row>
    <row r="341" spans="1:15" s="109" customFormat="1" ht="12.75" customHeight="1">
      <c r="A341" s="342"/>
      <c r="B341" s="396"/>
      <c r="C341" s="1029" t="s">
        <v>1588</v>
      </c>
      <c r="D341" s="1029"/>
      <c r="E341" s="1029"/>
      <c r="F341" s="1029"/>
      <c r="G341" s="343"/>
      <c r="H341" s="587"/>
      <c r="I341" s="587"/>
      <c r="J341" s="587"/>
      <c r="K341" s="587"/>
      <c r="L341" s="587"/>
      <c r="M341" s="587"/>
      <c r="N341" s="592"/>
      <c r="O341" s="592"/>
    </row>
    <row r="342" spans="1:15" s="109" customFormat="1" ht="12.75" customHeight="1">
      <c r="A342" s="342"/>
      <c r="B342" s="396"/>
      <c r="C342" s="1000" t="s">
        <v>1589</v>
      </c>
      <c r="D342" s="1000"/>
      <c r="E342" s="1000"/>
      <c r="F342" s="1000"/>
      <c r="G342" s="343" t="s">
        <v>109</v>
      </c>
      <c r="H342" s="587">
        <v>52</v>
      </c>
      <c r="I342" s="587">
        <f>0.1+0.14</f>
        <v>0.24000000000000002</v>
      </c>
      <c r="J342" s="587">
        <f>0.1+0.26</f>
        <v>0.36</v>
      </c>
      <c r="K342" s="587">
        <f>2.73+0.1</f>
        <v>2.83</v>
      </c>
      <c r="L342" s="587"/>
      <c r="M342" s="587"/>
      <c r="N342" s="602">
        <f t="shared" si="16"/>
        <v>176.59199999999998</v>
      </c>
      <c r="O342" s="592"/>
    </row>
    <row r="343" spans="1:15" s="109" customFormat="1" ht="12.75" customHeight="1">
      <c r="A343" s="342"/>
      <c r="B343" s="396"/>
      <c r="C343" s="1000" t="s">
        <v>1590</v>
      </c>
      <c r="D343" s="1000"/>
      <c r="E343" s="1000"/>
      <c r="F343" s="1000"/>
      <c r="G343" s="343" t="s">
        <v>109</v>
      </c>
      <c r="H343" s="587">
        <v>2</v>
      </c>
      <c r="I343" s="587">
        <f>0.1+0.19</f>
        <v>0.29000000000000004</v>
      </c>
      <c r="J343" s="587">
        <f>0.1+0.4</f>
        <v>0.5</v>
      </c>
      <c r="K343" s="587">
        <f>2.83+0.1</f>
        <v>2.93</v>
      </c>
      <c r="L343" s="587"/>
      <c r="M343" s="587"/>
      <c r="N343" s="602">
        <f t="shared" si="16"/>
        <v>9.2588000000000008</v>
      </c>
      <c r="O343" s="592"/>
    </row>
    <row r="344" spans="1:15" s="109" customFormat="1" ht="12.75" customHeight="1">
      <c r="A344" s="342"/>
      <c r="B344" s="396"/>
      <c r="C344" s="1000" t="s">
        <v>1591</v>
      </c>
      <c r="D344" s="1000"/>
      <c r="E344" s="1000"/>
      <c r="F344" s="1000"/>
      <c r="G344" s="343" t="s">
        <v>109</v>
      </c>
      <c r="H344" s="587">
        <v>2</v>
      </c>
      <c r="I344" s="587">
        <f>0.1+0.19</f>
        <v>0.29000000000000004</v>
      </c>
      <c r="J344" s="587">
        <f>0.1+0.6</f>
        <v>0.7</v>
      </c>
      <c r="K344" s="587">
        <f>2.83+0.1</f>
        <v>2.93</v>
      </c>
      <c r="L344" s="587"/>
      <c r="M344" s="587"/>
      <c r="N344" s="602">
        <f t="shared" si="16"/>
        <v>11.6028</v>
      </c>
      <c r="O344" s="592"/>
    </row>
    <row r="345" spans="1:15" s="109" customFormat="1" ht="12.75" customHeight="1">
      <c r="A345" s="342"/>
      <c r="B345" s="396"/>
      <c r="C345" s="1000" t="s">
        <v>1592</v>
      </c>
      <c r="D345" s="1000"/>
      <c r="E345" s="1000"/>
      <c r="F345" s="1000"/>
      <c r="G345" s="343" t="s">
        <v>109</v>
      </c>
      <c r="H345" s="587">
        <v>1</v>
      </c>
      <c r="I345" s="587">
        <f>0.1+0.14</f>
        <v>0.24000000000000002</v>
      </c>
      <c r="J345" s="587">
        <f>0.1+0.4</f>
        <v>0.5</v>
      </c>
      <c r="K345" s="587">
        <f>2.83+0.1</f>
        <v>2.93</v>
      </c>
      <c r="L345" s="587"/>
      <c r="M345" s="587"/>
      <c r="N345" s="602">
        <f t="shared" si="16"/>
        <v>4.3364000000000003</v>
      </c>
      <c r="O345" s="592"/>
    </row>
    <row r="346" spans="1:15" s="109" customFormat="1" ht="12.75" customHeight="1">
      <c r="A346" s="342"/>
      <c r="B346" s="396"/>
      <c r="C346" s="1000" t="s">
        <v>1593</v>
      </c>
      <c r="D346" s="1000"/>
      <c r="E346" s="1000"/>
      <c r="F346" s="1000"/>
      <c r="G346" s="343" t="s">
        <v>109</v>
      </c>
      <c r="H346" s="587">
        <v>2</v>
      </c>
      <c r="I346" s="587">
        <f>0.1+0.25</f>
        <v>0.35</v>
      </c>
      <c r="J346" s="587">
        <f>0.1+0.25</f>
        <v>0.35</v>
      </c>
      <c r="K346" s="587">
        <f>3.03+0.1</f>
        <v>3.13</v>
      </c>
      <c r="L346" s="587"/>
      <c r="M346" s="587"/>
      <c r="N346" s="602">
        <f t="shared" si="16"/>
        <v>8.7639999999999993</v>
      </c>
      <c r="O346" s="592"/>
    </row>
    <row r="347" spans="1:15" s="109" customFormat="1" ht="12.75" customHeight="1">
      <c r="A347" s="342"/>
      <c r="B347" s="396"/>
      <c r="C347" s="1000" t="s">
        <v>1594</v>
      </c>
      <c r="D347" s="1000"/>
      <c r="E347" s="1000"/>
      <c r="F347" s="1000"/>
      <c r="G347" s="343" t="s">
        <v>109</v>
      </c>
      <c r="H347" s="587">
        <v>9</v>
      </c>
      <c r="I347" s="587">
        <f t="shared" ref="I347:I352" si="17">0.1+0.14</f>
        <v>0.24000000000000002</v>
      </c>
      <c r="J347" s="587">
        <f>0.1+0.35</f>
        <v>0.44999999999999996</v>
      </c>
      <c r="K347" s="587">
        <f>2.73+0.1</f>
        <v>2.83</v>
      </c>
      <c r="L347" s="587"/>
      <c r="M347" s="587"/>
      <c r="N347" s="602">
        <f t="shared" si="16"/>
        <v>35.148599999999995</v>
      </c>
      <c r="O347" s="592"/>
    </row>
    <row r="348" spans="1:15" s="109" customFormat="1" ht="12.75" customHeight="1">
      <c r="A348" s="342"/>
      <c r="B348" s="396"/>
      <c r="C348" s="1000" t="s">
        <v>1595</v>
      </c>
      <c r="D348" s="1000"/>
      <c r="E348" s="1000"/>
      <c r="F348" s="1000"/>
      <c r="G348" s="343" t="s">
        <v>109</v>
      </c>
      <c r="H348" s="587">
        <v>1</v>
      </c>
      <c r="I348" s="587">
        <f t="shared" si="17"/>
        <v>0.24000000000000002</v>
      </c>
      <c r="J348" s="587">
        <f>0.1+0.4</f>
        <v>0.5</v>
      </c>
      <c r="K348" s="587">
        <f>3.03+0.1</f>
        <v>3.13</v>
      </c>
      <c r="L348" s="587"/>
      <c r="M348" s="587"/>
      <c r="N348" s="602">
        <f t="shared" si="16"/>
        <v>4.6323999999999996</v>
      </c>
      <c r="O348" s="592"/>
    </row>
    <row r="349" spans="1:15" s="109" customFormat="1" ht="12.75" customHeight="1">
      <c r="A349" s="342"/>
      <c r="B349" s="396"/>
      <c r="C349" s="1000" t="s">
        <v>1596</v>
      </c>
      <c r="D349" s="1000"/>
      <c r="E349" s="1000"/>
      <c r="F349" s="1000"/>
      <c r="G349" s="343" t="s">
        <v>109</v>
      </c>
      <c r="H349" s="587">
        <v>1</v>
      </c>
      <c r="I349" s="587">
        <f t="shared" si="17"/>
        <v>0.24000000000000002</v>
      </c>
      <c r="J349" s="587">
        <f>0.1+0.4</f>
        <v>0.5</v>
      </c>
      <c r="K349" s="587">
        <f>3.03+0.1</f>
        <v>3.13</v>
      </c>
      <c r="L349" s="587"/>
      <c r="M349" s="587"/>
      <c r="N349" s="602">
        <f t="shared" si="16"/>
        <v>4.6323999999999996</v>
      </c>
      <c r="O349" s="592"/>
    </row>
    <row r="350" spans="1:15" s="109" customFormat="1" ht="12.75" customHeight="1">
      <c r="A350" s="342"/>
      <c r="B350" s="396"/>
      <c r="C350" s="1000" t="s">
        <v>1597</v>
      </c>
      <c r="D350" s="1000"/>
      <c r="E350" s="1000"/>
      <c r="F350" s="1000"/>
      <c r="G350" s="343" t="s">
        <v>109</v>
      </c>
      <c r="H350" s="587">
        <v>1</v>
      </c>
      <c r="I350" s="587">
        <f t="shared" si="17"/>
        <v>0.24000000000000002</v>
      </c>
      <c r="J350" s="587">
        <f>0.1+0.45</f>
        <v>0.55000000000000004</v>
      </c>
      <c r="K350" s="587">
        <f>3.03+0.1</f>
        <v>3.13</v>
      </c>
      <c r="L350" s="587"/>
      <c r="M350" s="587"/>
      <c r="N350" s="602">
        <f t="shared" si="16"/>
        <v>4.9454000000000002</v>
      </c>
      <c r="O350" s="592"/>
    </row>
    <row r="351" spans="1:15" s="109" customFormat="1" ht="12.75" customHeight="1">
      <c r="A351" s="342"/>
      <c r="B351" s="396"/>
      <c r="C351" s="1000" t="s">
        <v>1598</v>
      </c>
      <c r="D351" s="1000"/>
      <c r="E351" s="1000"/>
      <c r="F351" s="1000"/>
      <c r="G351" s="343" t="s">
        <v>109</v>
      </c>
      <c r="H351" s="587">
        <v>1</v>
      </c>
      <c r="I351" s="587">
        <f t="shared" si="17"/>
        <v>0.24000000000000002</v>
      </c>
      <c r="J351" s="587">
        <f>0.1+0.4</f>
        <v>0.5</v>
      </c>
      <c r="K351" s="587">
        <f>2.83+0.1</f>
        <v>2.93</v>
      </c>
      <c r="L351" s="587"/>
      <c r="M351" s="587"/>
      <c r="N351" s="602">
        <f t="shared" si="16"/>
        <v>4.3364000000000003</v>
      </c>
      <c r="O351" s="592"/>
    </row>
    <row r="352" spans="1:15" s="109" customFormat="1" ht="12.75" customHeight="1">
      <c r="A352" s="342"/>
      <c r="B352" s="396"/>
      <c r="C352" s="1000" t="s">
        <v>1599</v>
      </c>
      <c r="D352" s="1000"/>
      <c r="E352" s="1000"/>
      <c r="F352" s="1000"/>
      <c r="G352" s="343" t="s">
        <v>109</v>
      </c>
      <c r="H352" s="587">
        <v>1</v>
      </c>
      <c r="I352" s="587">
        <f t="shared" si="17"/>
        <v>0.24000000000000002</v>
      </c>
      <c r="J352" s="587">
        <f>0.1+0.35</f>
        <v>0.44999999999999996</v>
      </c>
      <c r="K352" s="587">
        <f>3.03+0.1</f>
        <v>3.13</v>
      </c>
      <c r="L352" s="587"/>
      <c r="M352" s="587"/>
      <c r="N352" s="602">
        <f t="shared" si="16"/>
        <v>4.3193999999999999</v>
      </c>
      <c r="O352" s="592"/>
    </row>
    <row r="353" spans="1:15" s="109" customFormat="1" ht="12.75" customHeight="1">
      <c r="A353" s="342"/>
      <c r="B353" s="396"/>
      <c r="C353" s="1024"/>
      <c r="D353" s="1024"/>
      <c r="E353" s="1024"/>
      <c r="F353" s="1024"/>
      <c r="G353" s="389"/>
      <c r="H353" s="587"/>
      <c r="I353" s="587"/>
      <c r="J353" s="587"/>
      <c r="K353" s="587"/>
      <c r="L353" s="587"/>
      <c r="M353" s="587"/>
      <c r="N353" s="592"/>
      <c r="O353" s="592"/>
    </row>
    <row r="354" spans="1:15" s="109" customFormat="1" ht="12.75" customHeight="1">
      <c r="A354" s="342"/>
      <c r="B354" s="396"/>
      <c r="C354" s="1024"/>
      <c r="D354" s="1024"/>
      <c r="E354" s="1024"/>
      <c r="F354" s="1024"/>
      <c r="G354" s="389"/>
      <c r="H354" s="587"/>
      <c r="I354" s="587"/>
      <c r="J354" s="587"/>
      <c r="K354" s="587"/>
      <c r="L354" s="587"/>
      <c r="M354" s="587"/>
      <c r="N354" s="592"/>
      <c r="O354" s="592"/>
    </row>
    <row r="355" spans="1:15" s="109" customFormat="1" ht="12.75" customHeight="1">
      <c r="A355" s="342"/>
      <c r="B355" s="342"/>
      <c r="C355" s="1024"/>
      <c r="D355" s="1024"/>
      <c r="E355" s="1024"/>
      <c r="F355" s="1024"/>
      <c r="G355" s="343"/>
      <c r="H355" s="400"/>
      <c r="I355" s="401"/>
      <c r="J355" s="586"/>
      <c r="K355" s="587"/>
      <c r="L355" s="587"/>
      <c r="M355" s="587"/>
      <c r="N355" s="592"/>
      <c r="O355" s="592"/>
    </row>
    <row r="356" spans="1:15" s="109" customFormat="1" ht="58.5" customHeight="1">
      <c r="A356" s="377">
        <f>ORÇAMENTO!A75</f>
        <v>96543</v>
      </c>
      <c r="B356" s="377" t="str">
        <f>ORÇAMENTO!C75</f>
        <v>4.02.06</v>
      </c>
      <c r="C356" s="1004" t="str">
        <f>ORÇAMENTO!D75</f>
        <v>ARMAÇÃO DE BLOCO, VIGA BALDRAME E SAPATA UTILIZANDO AÇO CA-60 DE 5,0 MM MONTAGEM. AF_06/2017</v>
      </c>
      <c r="D356" s="1004"/>
      <c r="E356" s="1004"/>
      <c r="F356" s="1004"/>
      <c r="G356" s="377" t="str">
        <f>ORÇAMENTO!E75</f>
        <v>KG</v>
      </c>
      <c r="H356" s="380">
        <f>SUM(H357:H359)</f>
        <v>439</v>
      </c>
      <c r="I356" s="387"/>
      <c r="J356" s="380"/>
      <c r="K356" s="388"/>
      <c r="L356" s="380"/>
      <c r="M356" s="379"/>
      <c r="N356" s="380"/>
      <c r="O356" s="380"/>
    </row>
    <row r="357" spans="1:15" s="109" customFormat="1" ht="15" customHeight="1">
      <c r="A357" s="342"/>
      <c r="B357" s="342"/>
      <c r="C357" s="1000" t="s">
        <v>1579</v>
      </c>
      <c r="D357" s="1000"/>
      <c r="E357" s="1000"/>
      <c r="F357" s="1000"/>
      <c r="G357" s="389" t="s">
        <v>170</v>
      </c>
      <c r="H357" s="582">
        <v>234</v>
      </c>
      <c r="I357" s="591"/>
      <c r="J357" s="586"/>
      <c r="K357" s="587"/>
      <c r="L357" s="587"/>
      <c r="M357" s="587"/>
      <c r="N357" s="592"/>
      <c r="O357" s="592"/>
    </row>
    <row r="358" spans="1:15" s="109" customFormat="1" ht="12.75" customHeight="1">
      <c r="A358" s="342"/>
      <c r="B358" s="342"/>
      <c r="C358" s="1002" t="s">
        <v>1600</v>
      </c>
      <c r="D358" s="1002"/>
      <c r="E358" s="1002"/>
      <c r="F358" s="1002"/>
      <c r="G358" s="389" t="s">
        <v>170</v>
      </c>
      <c r="H358" s="582">
        <v>205</v>
      </c>
      <c r="I358" s="591"/>
      <c r="J358" s="586"/>
      <c r="K358" s="587"/>
      <c r="L358" s="587"/>
      <c r="M358" s="587"/>
      <c r="N358" s="592"/>
      <c r="O358" s="592"/>
    </row>
    <row r="359" spans="1:15" s="109" customFormat="1" ht="12.75" customHeight="1">
      <c r="A359" s="342"/>
      <c r="B359" s="342"/>
      <c r="C359" s="1002"/>
      <c r="D359" s="1002"/>
      <c r="E359" s="1002"/>
      <c r="F359" s="1002"/>
      <c r="G359" s="389"/>
      <c r="H359" s="582"/>
      <c r="I359" s="591"/>
      <c r="J359" s="586"/>
      <c r="K359" s="587"/>
      <c r="L359" s="587"/>
      <c r="M359" s="587"/>
      <c r="N359" s="592"/>
      <c r="O359" s="592"/>
    </row>
    <row r="360" spans="1:15" s="109" customFormat="1" ht="55.5" customHeight="1">
      <c r="A360" s="377">
        <f>ORÇAMENTO!A76</f>
        <v>96544</v>
      </c>
      <c r="B360" s="377" t="str">
        <f>ORÇAMENTO!C76</f>
        <v>4.02.07</v>
      </c>
      <c r="C360" s="1003" t="str">
        <f>ORÇAMENTO!D76</f>
        <v>ARMAÇÃO DE BLOCO, VIGA BALDRAME OU SAPATA UTILIZANDO AÇO CA-50 DE 6,3MM - MONTAGEM. AF_12/2015</v>
      </c>
      <c r="D360" s="1003"/>
      <c r="E360" s="1003"/>
      <c r="F360" s="1003"/>
      <c r="G360" s="377" t="str">
        <f>ORÇAMENTO!E76</f>
        <v>KG</v>
      </c>
      <c r="H360" s="380">
        <f>SUM(H361:H363)</f>
        <v>598</v>
      </c>
      <c r="I360" s="387"/>
      <c r="J360" s="380"/>
      <c r="K360" s="388"/>
      <c r="L360" s="380"/>
      <c r="M360" s="379"/>
      <c r="N360" s="380"/>
      <c r="O360" s="380"/>
    </row>
    <row r="361" spans="1:15" s="109" customFormat="1">
      <c r="A361" s="342"/>
      <c r="B361" s="342"/>
      <c r="C361" s="1000" t="s">
        <v>1579</v>
      </c>
      <c r="D361" s="1000"/>
      <c r="E361" s="1000"/>
      <c r="F361" s="1000"/>
      <c r="G361" s="389" t="s">
        <v>170</v>
      </c>
      <c r="H361" s="582">
        <v>406</v>
      </c>
      <c r="I361" s="591"/>
      <c r="J361" s="586"/>
      <c r="K361" s="587"/>
      <c r="L361" s="587"/>
      <c r="M361" s="587"/>
      <c r="N361" s="592"/>
      <c r="O361" s="592"/>
    </row>
    <row r="362" spans="1:15" s="109" customFormat="1" ht="13.15" customHeight="1">
      <c r="A362" s="342"/>
      <c r="B362" s="342"/>
      <c r="C362" s="1002" t="s">
        <v>1600</v>
      </c>
      <c r="D362" s="1002"/>
      <c r="E362" s="1002"/>
      <c r="F362" s="1002"/>
      <c r="G362" s="389" t="s">
        <v>170</v>
      </c>
      <c r="H362" s="582">
        <v>192</v>
      </c>
      <c r="I362" s="591"/>
      <c r="J362" s="586"/>
      <c r="K362" s="587"/>
      <c r="L362" s="587"/>
      <c r="M362" s="587"/>
      <c r="N362" s="592"/>
      <c r="O362" s="592"/>
    </row>
    <row r="363" spans="1:15" s="109" customFormat="1">
      <c r="A363" s="342"/>
      <c r="B363" s="342"/>
      <c r="C363" s="1002"/>
      <c r="D363" s="1002"/>
      <c r="E363" s="1002"/>
      <c r="F363" s="1002"/>
      <c r="G363" s="389"/>
      <c r="H363" s="582"/>
      <c r="I363" s="591"/>
      <c r="J363" s="586"/>
      <c r="K363" s="587"/>
      <c r="L363" s="587"/>
      <c r="M363" s="587"/>
      <c r="N363" s="592"/>
      <c r="O363" s="592"/>
    </row>
    <row r="364" spans="1:15" s="109" customFormat="1" ht="36.75" customHeight="1">
      <c r="A364" s="377">
        <f>ORÇAMENTO!A77</f>
        <v>96545</v>
      </c>
      <c r="B364" s="377" t="str">
        <f>ORÇAMENTO!C77</f>
        <v>4.02.08</v>
      </c>
      <c r="C364" s="1003" t="str">
        <f>ORÇAMENTO!D77</f>
        <v>ARMAÇÃO DE BLOCO, VIGA BALDRAME OU SAPATA UTILIZANDO AÇO CA-50 DE 8 MM - MONTAGEM. AF_06/2017</v>
      </c>
      <c r="D364" s="1003"/>
      <c r="E364" s="1003"/>
      <c r="F364" s="1003"/>
      <c r="G364" s="377" t="str">
        <f>ORÇAMENTO!E77</f>
        <v>KG</v>
      </c>
      <c r="H364" s="380">
        <f>SUM(H365:H366)</f>
        <v>104</v>
      </c>
      <c r="I364" s="387"/>
      <c r="J364" s="380"/>
      <c r="K364" s="388"/>
      <c r="L364" s="380"/>
      <c r="M364" s="379"/>
      <c r="N364" s="380"/>
      <c r="O364" s="380"/>
    </row>
    <row r="365" spans="1:15" s="109" customFormat="1" ht="13.15" customHeight="1">
      <c r="A365" s="342"/>
      <c r="B365" s="342"/>
      <c r="C365" s="1002" t="s">
        <v>1600</v>
      </c>
      <c r="D365" s="1002"/>
      <c r="E365" s="1002"/>
      <c r="F365" s="1002"/>
      <c r="G365" s="389" t="s">
        <v>170</v>
      </c>
      <c r="H365" s="582">
        <v>104</v>
      </c>
      <c r="I365" s="591"/>
      <c r="J365" s="586"/>
      <c r="K365" s="587"/>
      <c r="L365" s="587"/>
      <c r="M365" s="587"/>
      <c r="N365" s="592"/>
      <c r="O365" s="592"/>
    </row>
    <row r="366" spans="1:15" s="109" customFormat="1">
      <c r="A366" s="342"/>
      <c r="B366" s="342"/>
      <c r="C366" s="1002"/>
      <c r="D366" s="1002"/>
      <c r="E366" s="1002"/>
      <c r="F366" s="1002"/>
      <c r="G366" s="389"/>
      <c r="H366" s="582"/>
      <c r="I366" s="591"/>
      <c r="J366" s="586"/>
      <c r="K366" s="587"/>
      <c r="L366" s="587"/>
      <c r="M366" s="587"/>
      <c r="N366" s="592"/>
      <c r="O366" s="592"/>
    </row>
    <row r="367" spans="1:15" s="109" customFormat="1" ht="37.5" customHeight="1">
      <c r="A367" s="377">
        <f>ORÇAMENTO!A78</f>
        <v>96546</v>
      </c>
      <c r="B367" s="377" t="str">
        <f>ORÇAMENTO!C78</f>
        <v>4.02.09</v>
      </c>
      <c r="C367" s="1003" t="str">
        <f>ORÇAMENTO!D78</f>
        <v>ARMAÇÃO DE BLOCO, VIGA BALDRAME OU SAPATA UTILIZANDO AÇO CA-50 DE 10 MM - MONTAGEM. AF_06/2017</v>
      </c>
      <c r="D367" s="1003"/>
      <c r="E367" s="1003"/>
      <c r="F367" s="1003"/>
      <c r="G367" s="377" t="str">
        <f>ORÇAMENTO!E78</f>
        <v>KG</v>
      </c>
      <c r="H367" s="380">
        <f>SUM(H368:H369)</f>
        <v>508</v>
      </c>
      <c r="I367" s="387"/>
      <c r="J367" s="380"/>
      <c r="K367" s="388"/>
      <c r="L367" s="380"/>
      <c r="M367" s="379"/>
      <c r="N367" s="380"/>
      <c r="O367" s="380"/>
    </row>
    <row r="368" spans="1:15" s="109" customFormat="1" ht="13.15" customHeight="1">
      <c r="A368" s="342"/>
      <c r="B368" s="342"/>
      <c r="C368" s="1002" t="s">
        <v>1600</v>
      </c>
      <c r="D368" s="1002"/>
      <c r="E368" s="1002"/>
      <c r="F368" s="1002"/>
      <c r="G368" s="389" t="s">
        <v>170</v>
      </c>
      <c r="H368" s="582">
        <v>508</v>
      </c>
      <c r="I368" s="591"/>
      <c r="J368" s="586"/>
      <c r="K368" s="587"/>
      <c r="L368" s="587"/>
      <c r="M368" s="587"/>
      <c r="N368" s="592"/>
      <c r="O368" s="592"/>
    </row>
    <row r="369" spans="1:15" s="109" customFormat="1">
      <c r="A369" s="342"/>
      <c r="B369" s="342"/>
      <c r="C369" s="1002"/>
      <c r="D369" s="1002"/>
      <c r="E369" s="1002"/>
      <c r="F369" s="1002"/>
      <c r="G369" s="389"/>
      <c r="H369" s="582"/>
      <c r="I369" s="591"/>
      <c r="J369" s="586"/>
      <c r="K369" s="587"/>
      <c r="L369" s="587"/>
      <c r="M369" s="587"/>
      <c r="N369" s="592"/>
      <c r="O369" s="592"/>
    </row>
    <row r="370" spans="1:15" s="109" customFormat="1" ht="59.25" customHeight="1">
      <c r="A370" s="377">
        <f>ORÇAMENTO!A79</f>
        <v>96547</v>
      </c>
      <c r="B370" s="377" t="str">
        <f>ORÇAMENTO!C79</f>
        <v>4.02.10</v>
      </c>
      <c r="C370" s="1071" t="str">
        <f>ORÇAMENTO!D79</f>
        <v>ARMAÇÃO DE BLOCO, VIGA BALDRAME OU SAPATA UTILIZANDO AÇO CA-50 DE 12,5MM - MONTAGEM. AF_12/2015</v>
      </c>
      <c r="D370" s="1071"/>
      <c r="E370" s="1071"/>
      <c r="F370" s="1071"/>
      <c r="G370" s="377" t="str">
        <f>ORÇAMENTO!E79</f>
        <v>KG</v>
      </c>
      <c r="H370" s="380">
        <f>SUM(H371:H372)</f>
        <v>392</v>
      </c>
      <c r="I370" s="387"/>
      <c r="J370" s="380"/>
      <c r="K370" s="388"/>
      <c r="L370" s="380"/>
      <c r="M370" s="379"/>
      <c r="N370" s="380"/>
      <c r="O370" s="380"/>
    </row>
    <row r="371" spans="1:15" s="109" customFormat="1" ht="12.75" customHeight="1">
      <c r="A371" s="342"/>
      <c r="B371" s="342"/>
      <c r="C371" s="1002" t="s">
        <v>1600</v>
      </c>
      <c r="D371" s="1002"/>
      <c r="E371" s="1002"/>
      <c r="F371" s="1002"/>
      <c r="G371" s="389" t="s">
        <v>170</v>
      </c>
      <c r="H371" s="582">
        <v>392</v>
      </c>
      <c r="I371" s="591"/>
      <c r="J371" s="586"/>
      <c r="K371" s="587"/>
      <c r="L371" s="587"/>
      <c r="M371" s="587"/>
      <c r="N371" s="592"/>
      <c r="O371" s="592"/>
    </row>
    <row r="372" spans="1:15" s="109" customFormat="1" ht="12.75" customHeight="1">
      <c r="A372" s="342"/>
      <c r="B372" s="342"/>
      <c r="C372" s="1002"/>
      <c r="D372" s="1002"/>
      <c r="E372" s="1002"/>
      <c r="F372" s="1002"/>
      <c r="G372" s="389"/>
      <c r="H372" s="582"/>
      <c r="I372" s="591"/>
      <c r="J372" s="586"/>
      <c r="K372" s="587"/>
      <c r="L372" s="587"/>
      <c r="M372" s="587"/>
      <c r="N372" s="592"/>
      <c r="O372" s="592"/>
    </row>
    <row r="373" spans="1:15" s="109" customFormat="1" ht="25.5" customHeight="1">
      <c r="A373" s="377">
        <f>ORÇAMENTO!A80</f>
        <v>96548</v>
      </c>
      <c r="B373" s="377" t="str">
        <f>ORÇAMENTO!C80</f>
        <v>4.02.11</v>
      </c>
      <c r="C373" s="1003" t="str">
        <f>ORÇAMENTO!D80</f>
        <v>ARMAÇÃO DE BLOCO, VIGA BALDRAME OU SAPATA UTILIZANDO AÇO CA-50 DE 16 MM - MONTAGEM. AF_06/2017</v>
      </c>
      <c r="D373" s="1003"/>
      <c r="E373" s="1003"/>
      <c r="F373" s="1003"/>
      <c r="G373" s="377" t="str">
        <f>ORÇAMENTO!E80</f>
        <v>KG</v>
      </c>
      <c r="H373" s="380">
        <f>SUM(H374:H375)</f>
        <v>220</v>
      </c>
      <c r="I373" s="387"/>
      <c r="J373" s="380"/>
      <c r="K373" s="388"/>
      <c r="L373" s="380"/>
      <c r="M373" s="379"/>
      <c r="N373" s="380"/>
      <c r="O373" s="380"/>
    </row>
    <row r="374" spans="1:15" s="109" customFormat="1" ht="12.75" customHeight="1">
      <c r="A374" s="342"/>
      <c r="B374" s="342"/>
      <c r="C374" s="1002" t="s">
        <v>1600</v>
      </c>
      <c r="D374" s="1002"/>
      <c r="E374" s="1002"/>
      <c r="F374" s="1002"/>
      <c r="G374" s="389" t="s">
        <v>170</v>
      </c>
      <c r="H374" s="582">
        <v>220</v>
      </c>
      <c r="I374" s="591"/>
      <c r="J374" s="586"/>
      <c r="K374" s="587"/>
      <c r="L374" s="587"/>
      <c r="M374" s="587"/>
      <c r="N374" s="592"/>
      <c r="O374" s="592"/>
    </row>
    <row r="375" spans="1:15" s="109" customFormat="1" ht="12.75" customHeight="1">
      <c r="A375" s="342"/>
      <c r="B375" s="342"/>
      <c r="C375" s="1002"/>
      <c r="D375" s="1002"/>
      <c r="E375" s="1002"/>
      <c r="F375" s="1002"/>
      <c r="G375" s="389"/>
      <c r="H375" s="582"/>
      <c r="I375" s="591"/>
      <c r="J375" s="586"/>
      <c r="K375" s="587"/>
      <c r="L375" s="587"/>
      <c r="M375" s="587"/>
      <c r="N375" s="592"/>
      <c r="O375" s="592"/>
    </row>
    <row r="376" spans="1:15" ht="12.75" customHeight="1">
      <c r="A376" s="373" t="s">
        <v>11</v>
      </c>
      <c r="B376" s="374" t="s">
        <v>13</v>
      </c>
      <c r="C376" s="1007" t="s">
        <v>1443</v>
      </c>
      <c r="D376" s="1007"/>
      <c r="E376" s="1007"/>
      <c r="F376" s="1007"/>
      <c r="G376" s="374" t="s">
        <v>15</v>
      </c>
      <c r="H376" s="375" t="s">
        <v>1444</v>
      </c>
      <c r="I376" s="106" t="s">
        <v>1445</v>
      </c>
      <c r="J376" s="106" t="s">
        <v>1446</v>
      </c>
      <c r="K376" s="375" t="s">
        <v>1447</v>
      </c>
      <c r="L376" s="375" t="s">
        <v>1448</v>
      </c>
      <c r="M376" s="375" t="s">
        <v>1457</v>
      </c>
      <c r="N376" s="375" t="s">
        <v>1450</v>
      </c>
      <c r="O376" s="375" t="s">
        <v>1451</v>
      </c>
    </row>
    <row r="377" spans="1:15" s="109" customFormat="1" ht="12.75" customHeight="1">
      <c r="A377" s="376"/>
      <c r="B377" s="376" t="str">
        <f>ORÇAMENTO!C81</f>
        <v>5.00</v>
      </c>
      <c r="C377" s="1066" t="str">
        <f>ORÇAMENTO!D81</f>
        <v>SUPRA-ESTRUTURA</v>
      </c>
      <c r="D377" s="1066"/>
      <c r="E377" s="1066"/>
      <c r="F377" s="1066"/>
      <c r="G377" s="1039"/>
      <c r="H377" s="1039"/>
      <c r="I377" s="1039"/>
      <c r="J377" s="1039"/>
      <c r="K377" s="1039"/>
      <c r="L377" s="1039"/>
      <c r="M377" s="1039"/>
      <c r="N377" s="1039"/>
      <c r="O377" s="1039"/>
    </row>
    <row r="378" spans="1:15" s="109" customFormat="1" ht="39" customHeight="1">
      <c r="A378" s="377">
        <f>ORÇAMENTO!A83</f>
        <v>105</v>
      </c>
      <c r="B378" s="377" t="str">
        <f>ORÇAMENTO!C83</f>
        <v>5.01.01</v>
      </c>
      <c r="C378" s="1094" t="str">
        <f>ORÇAMENTO!D83</f>
        <v>CONCRETO SIMPLES USINADO FCK=35MPA, BOMBEADO, LANÇADO E ADENSADO EM SUPERESTRUTURA</v>
      </c>
      <c r="D378" s="1094"/>
      <c r="E378" s="1094"/>
      <c r="F378" s="1094"/>
      <c r="G378" s="377" t="str">
        <f>ORÇAMENTO!E83</f>
        <v>M³</v>
      </c>
      <c r="H378" s="380"/>
      <c r="I378" s="387"/>
      <c r="J378" s="380"/>
      <c r="K378" s="388"/>
      <c r="L378" s="380"/>
      <c r="M378" s="379"/>
      <c r="N378" s="380"/>
      <c r="O378" s="380">
        <f>SUM(O380:O511)</f>
        <v>126.62337250000006</v>
      </c>
    </row>
    <row r="379" spans="1:15" s="109" customFormat="1">
      <c r="A379" s="404"/>
      <c r="B379" s="404"/>
      <c r="C379" s="1093" t="s">
        <v>1601</v>
      </c>
      <c r="D379" s="1093"/>
      <c r="E379" s="1093"/>
      <c r="F379" s="1093"/>
      <c r="G379" s="404"/>
      <c r="H379" s="406"/>
      <c r="I379" s="407"/>
      <c r="J379" s="406"/>
      <c r="K379" s="408"/>
      <c r="L379" s="406"/>
      <c r="M379" s="409"/>
      <c r="N379" s="406"/>
      <c r="O379" s="340"/>
    </row>
    <row r="380" spans="1:15" s="109" customFormat="1" ht="42.75" customHeight="1">
      <c r="A380" s="376"/>
      <c r="B380" s="376"/>
      <c r="C380" s="1033" t="s">
        <v>1602</v>
      </c>
      <c r="D380" s="1033"/>
      <c r="E380" s="1033"/>
      <c r="F380" s="1033"/>
      <c r="G380" s="343" t="s">
        <v>109</v>
      </c>
      <c r="H380" s="410">
        <v>47</v>
      </c>
      <c r="I380" s="410">
        <v>0.14000000000000001</v>
      </c>
      <c r="J380" s="410">
        <v>0.26</v>
      </c>
      <c r="K380" s="410">
        <f>3.28</f>
        <v>3.28</v>
      </c>
      <c r="L380" s="400"/>
      <c r="M380" s="411"/>
      <c r="N380" s="400"/>
      <c r="O380" s="400">
        <f t="shared" ref="O380:O394" si="18">H380*I380*J380*K380</f>
        <v>5.6114240000000004</v>
      </c>
    </row>
    <row r="381" spans="1:15" s="109" customFormat="1" ht="15">
      <c r="A381" s="376"/>
      <c r="B381" s="376"/>
      <c r="C381" s="1033" t="s">
        <v>1603</v>
      </c>
      <c r="D381" s="1033"/>
      <c r="E381" s="1033"/>
      <c r="F381" s="1033"/>
      <c r="G381" s="343" t="s">
        <v>109</v>
      </c>
      <c r="H381" s="410">
        <v>2</v>
      </c>
      <c r="I381" s="410">
        <v>0.19</v>
      </c>
      <c r="J381" s="410">
        <v>0.4</v>
      </c>
      <c r="K381" s="410">
        <f>3.5+1.38+1.22+0.53</f>
        <v>6.63</v>
      </c>
      <c r="L381" s="400"/>
      <c r="M381" s="411"/>
      <c r="N381" s="400"/>
      <c r="O381" s="400">
        <f t="shared" si="18"/>
        <v>1.0077600000000002</v>
      </c>
    </row>
    <row r="382" spans="1:15" s="109" customFormat="1" ht="15" customHeight="1">
      <c r="A382" s="376"/>
      <c r="B382" s="376"/>
      <c r="C382" s="1033" t="s">
        <v>1604</v>
      </c>
      <c r="D382" s="1033"/>
      <c r="E382" s="1033"/>
      <c r="F382" s="1033"/>
      <c r="G382" s="343" t="s">
        <v>109</v>
      </c>
      <c r="H382" s="410">
        <v>2</v>
      </c>
      <c r="I382" s="410">
        <v>0.19</v>
      </c>
      <c r="J382" s="410">
        <v>0.6</v>
      </c>
      <c r="K382" s="410">
        <f>4.6+1.65</f>
        <v>6.25</v>
      </c>
      <c r="L382" s="400"/>
      <c r="M382" s="411"/>
      <c r="N382" s="400"/>
      <c r="O382" s="400">
        <f t="shared" si="18"/>
        <v>1.4249999999999998</v>
      </c>
    </row>
    <row r="383" spans="1:15" s="109" customFormat="1" ht="15" customHeight="1">
      <c r="A383" s="376"/>
      <c r="B383" s="376"/>
      <c r="C383" s="1033" t="s">
        <v>1605</v>
      </c>
      <c r="D383" s="1033"/>
      <c r="E383" s="1033"/>
      <c r="F383" s="1033"/>
      <c r="G383" s="343" t="s">
        <v>109</v>
      </c>
      <c r="H383" s="410">
        <v>5</v>
      </c>
      <c r="I383" s="410">
        <v>0.14000000000000001</v>
      </c>
      <c r="J383" s="410">
        <v>0.26</v>
      </c>
      <c r="K383" s="410">
        <f>3.3+1.3</f>
        <v>4.5999999999999996</v>
      </c>
      <c r="L383" s="400"/>
      <c r="M383" s="411"/>
      <c r="N383" s="400"/>
      <c r="O383" s="400">
        <f>H383*I383*J383*K383</f>
        <v>0.83720000000000006</v>
      </c>
    </row>
    <row r="384" spans="1:15" s="109" customFormat="1" ht="15" customHeight="1">
      <c r="A384" s="376"/>
      <c r="B384" s="376"/>
      <c r="C384" s="1033" t="s">
        <v>1606</v>
      </c>
      <c r="D384" s="1033"/>
      <c r="E384" s="1033"/>
      <c r="F384" s="1033"/>
      <c r="G384" s="343" t="s">
        <v>109</v>
      </c>
      <c r="H384" s="410">
        <v>1</v>
      </c>
      <c r="I384" s="410">
        <v>0.14000000000000001</v>
      </c>
      <c r="J384" s="410">
        <v>0.4</v>
      </c>
      <c r="K384" s="410">
        <f>3.3+1.3</f>
        <v>4.5999999999999996</v>
      </c>
      <c r="L384" s="400"/>
      <c r="M384" s="411"/>
      <c r="N384" s="400"/>
      <c r="O384" s="400">
        <f t="shared" si="18"/>
        <v>0.2576</v>
      </c>
    </row>
    <row r="385" spans="1:15" s="109" customFormat="1" ht="15" customHeight="1">
      <c r="A385" s="376"/>
      <c r="B385" s="376"/>
      <c r="C385" s="1033" t="s">
        <v>1607</v>
      </c>
      <c r="D385" s="1033"/>
      <c r="E385" s="1033"/>
      <c r="F385" s="1033"/>
      <c r="G385" s="343" t="s">
        <v>109</v>
      </c>
      <c r="H385" s="410">
        <v>2</v>
      </c>
      <c r="I385" s="410">
        <v>0.25</v>
      </c>
      <c r="J385" s="410">
        <v>0.25</v>
      </c>
      <c r="K385" s="410">
        <f>4.6</f>
        <v>4.5999999999999996</v>
      </c>
      <c r="L385" s="400"/>
      <c r="M385" s="411"/>
      <c r="N385" s="400"/>
      <c r="O385" s="400">
        <f t="shared" si="18"/>
        <v>0.57499999999999996</v>
      </c>
    </row>
    <row r="386" spans="1:15" s="109" customFormat="1" ht="15" customHeight="1">
      <c r="A386" s="376"/>
      <c r="B386" s="376"/>
      <c r="C386" s="1033" t="s">
        <v>1608</v>
      </c>
      <c r="D386" s="1033"/>
      <c r="E386" s="1033"/>
      <c r="F386" s="1033"/>
      <c r="G386" s="343" t="s">
        <v>109</v>
      </c>
      <c r="H386" s="410">
        <v>6</v>
      </c>
      <c r="I386" s="410">
        <v>0.14000000000000001</v>
      </c>
      <c r="J386" s="410">
        <v>0.35</v>
      </c>
      <c r="K386" s="410">
        <f>3.3</f>
        <v>3.3</v>
      </c>
      <c r="L386" s="400"/>
      <c r="M386" s="411"/>
      <c r="N386" s="400"/>
      <c r="O386" s="400">
        <f t="shared" si="18"/>
        <v>0.97019999999999984</v>
      </c>
    </row>
    <row r="387" spans="1:15" s="109" customFormat="1" ht="15" customHeight="1">
      <c r="A387" s="376"/>
      <c r="B387" s="376"/>
      <c r="C387" s="1033" t="s">
        <v>1609</v>
      </c>
      <c r="D387" s="1033"/>
      <c r="E387" s="1033"/>
      <c r="F387" s="1033"/>
      <c r="G387" s="343" t="s">
        <v>109</v>
      </c>
      <c r="H387" s="410">
        <v>1</v>
      </c>
      <c r="I387" s="410">
        <v>0.14000000000000001</v>
      </c>
      <c r="J387" s="410">
        <v>0.4</v>
      </c>
      <c r="K387" s="410">
        <f>3.3+1.3</f>
        <v>4.5999999999999996</v>
      </c>
      <c r="L387" s="400"/>
      <c r="M387" s="411"/>
      <c r="N387" s="400"/>
      <c r="O387" s="400">
        <f t="shared" si="18"/>
        <v>0.2576</v>
      </c>
    </row>
    <row r="388" spans="1:15" s="109" customFormat="1" ht="15" customHeight="1">
      <c r="A388" s="376"/>
      <c r="B388" s="376"/>
      <c r="C388" s="1033" t="s">
        <v>1610</v>
      </c>
      <c r="D388" s="1033"/>
      <c r="E388" s="1033"/>
      <c r="F388" s="1033"/>
      <c r="G388" s="343" t="s">
        <v>109</v>
      </c>
      <c r="H388" s="410">
        <v>3</v>
      </c>
      <c r="I388" s="410">
        <v>0.14000000000000001</v>
      </c>
      <c r="J388" s="410">
        <v>0.35</v>
      </c>
      <c r="K388" s="410">
        <f>3.3+1.3</f>
        <v>4.5999999999999996</v>
      </c>
      <c r="L388" s="400"/>
      <c r="M388" s="411"/>
      <c r="N388" s="400"/>
      <c r="O388" s="400">
        <f t="shared" si="18"/>
        <v>0.67619999999999991</v>
      </c>
    </row>
    <row r="389" spans="1:15" s="109" customFormat="1" ht="15" customHeight="1">
      <c r="A389" s="376"/>
      <c r="B389" s="376"/>
      <c r="C389" s="1033" t="s">
        <v>1611</v>
      </c>
      <c r="D389" s="1033"/>
      <c r="E389" s="1033"/>
      <c r="F389" s="1033"/>
      <c r="G389" s="343" t="s">
        <v>109</v>
      </c>
      <c r="H389" s="410">
        <v>1</v>
      </c>
      <c r="I389" s="410">
        <v>0.14000000000000001</v>
      </c>
      <c r="J389" s="410">
        <v>0.4</v>
      </c>
      <c r="K389" s="410">
        <f>3.3+1.3+1.15</f>
        <v>5.75</v>
      </c>
      <c r="L389" s="400"/>
      <c r="M389" s="411"/>
      <c r="N389" s="400"/>
      <c r="O389" s="400">
        <f t="shared" si="18"/>
        <v>0.32200000000000006</v>
      </c>
    </row>
    <row r="390" spans="1:15" s="109" customFormat="1" ht="15" customHeight="1">
      <c r="A390" s="376"/>
      <c r="B390" s="376"/>
      <c r="C390" s="1033" t="s">
        <v>1612</v>
      </c>
      <c r="D390" s="1033"/>
      <c r="E390" s="1033"/>
      <c r="F390" s="1033"/>
      <c r="G390" s="343" t="s">
        <v>109</v>
      </c>
      <c r="H390" s="410">
        <v>1</v>
      </c>
      <c r="I390" s="410">
        <v>0.14000000000000001</v>
      </c>
      <c r="J390" s="410">
        <v>0.45</v>
      </c>
      <c r="K390" s="410">
        <f>3.3+1.3+1.15</f>
        <v>5.75</v>
      </c>
      <c r="L390" s="400"/>
      <c r="M390" s="411"/>
      <c r="N390" s="400"/>
      <c r="O390" s="400">
        <f t="shared" si="18"/>
        <v>0.36225000000000007</v>
      </c>
    </row>
    <row r="391" spans="1:15" s="109" customFormat="1" ht="15" customHeight="1">
      <c r="A391" s="376"/>
      <c r="B391" s="376"/>
      <c r="C391" s="1033" t="s">
        <v>1613</v>
      </c>
      <c r="D391" s="1033"/>
      <c r="E391" s="1033"/>
      <c r="F391" s="1033"/>
      <c r="G391" s="343" t="s">
        <v>109</v>
      </c>
      <c r="H391" s="410">
        <v>1</v>
      </c>
      <c r="I391" s="410">
        <v>0.14000000000000001</v>
      </c>
      <c r="J391" s="410">
        <v>0.4</v>
      </c>
      <c r="K391" s="410">
        <f>3.3+1.3+1.15</f>
        <v>5.75</v>
      </c>
      <c r="L391" s="400"/>
      <c r="M391" s="411"/>
      <c r="N391" s="400"/>
      <c r="O391" s="400">
        <f t="shared" si="18"/>
        <v>0.32200000000000006</v>
      </c>
    </row>
    <row r="392" spans="1:15" s="109" customFormat="1" ht="15" customHeight="1">
      <c r="A392" s="376"/>
      <c r="B392" s="376"/>
      <c r="C392" s="1033" t="s">
        <v>1614</v>
      </c>
      <c r="D392" s="1033"/>
      <c r="E392" s="1033"/>
      <c r="F392" s="1033"/>
      <c r="G392" s="343" t="s">
        <v>109</v>
      </c>
      <c r="H392" s="410">
        <v>1</v>
      </c>
      <c r="I392" s="410">
        <v>0.14000000000000001</v>
      </c>
      <c r="J392" s="410">
        <v>0.35</v>
      </c>
      <c r="K392" s="410">
        <f>3.3+1.3</f>
        <v>4.5999999999999996</v>
      </c>
      <c r="L392" s="400"/>
      <c r="M392" s="411"/>
      <c r="N392" s="400"/>
      <c r="O392" s="400">
        <f t="shared" si="18"/>
        <v>0.22539999999999999</v>
      </c>
    </row>
    <row r="393" spans="1:15" s="109" customFormat="1" ht="15" customHeight="1">
      <c r="A393" s="376"/>
      <c r="B393" s="376"/>
      <c r="C393" s="1033" t="s">
        <v>1615</v>
      </c>
      <c r="D393" s="1033"/>
      <c r="E393" s="1033"/>
      <c r="F393" s="1033"/>
      <c r="G393" s="343" t="s">
        <v>109</v>
      </c>
      <c r="H393" s="410">
        <v>1</v>
      </c>
      <c r="I393" s="410">
        <v>0.14000000000000001</v>
      </c>
      <c r="J393" s="410">
        <v>0.35</v>
      </c>
      <c r="K393" s="410">
        <v>0.82</v>
      </c>
      <c r="L393" s="400"/>
      <c r="M393" s="411"/>
      <c r="N393" s="400"/>
      <c r="O393" s="400">
        <f t="shared" si="18"/>
        <v>4.018E-2</v>
      </c>
    </row>
    <row r="394" spans="1:15" s="109" customFormat="1" ht="15" customHeight="1">
      <c r="A394" s="376"/>
      <c r="B394" s="376"/>
      <c r="C394" s="1033" t="s">
        <v>1616</v>
      </c>
      <c r="D394" s="1033"/>
      <c r="E394" s="1033"/>
      <c r="F394" s="1033"/>
      <c r="G394" s="343" t="s">
        <v>109</v>
      </c>
      <c r="H394" s="410">
        <v>13</v>
      </c>
      <c r="I394" s="410">
        <v>0.14000000000000001</v>
      </c>
      <c r="J394" s="410">
        <v>0.16</v>
      </c>
      <c r="K394" s="410">
        <f>1.3+1.15</f>
        <v>2.4500000000000002</v>
      </c>
      <c r="L394" s="400"/>
      <c r="M394" s="411"/>
      <c r="N394" s="400"/>
      <c r="O394" s="400">
        <f t="shared" si="18"/>
        <v>0.71344000000000019</v>
      </c>
    </row>
    <row r="395" spans="1:15" s="109" customFormat="1" ht="12.75" customHeight="1">
      <c r="A395" s="376"/>
      <c r="B395" s="376"/>
      <c r="C395" s="1093" t="s">
        <v>1617</v>
      </c>
      <c r="D395" s="1093"/>
      <c r="E395" s="1093"/>
      <c r="F395" s="1093"/>
      <c r="G395" s="343"/>
      <c r="H395" s="400"/>
      <c r="I395" s="401"/>
      <c r="J395" s="400"/>
      <c r="K395" s="400"/>
      <c r="L395" s="400"/>
      <c r="M395" s="411"/>
      <c r="N395" s="400"/>
      <c r="O395" s="400"/>
    </row>
    <row r="396" spans="1:15" s="109" customFormat="1" ht="15" customHeight="1">
      <c r="A396" s="376"/>
      <c r="B396" s="376"/>
      <c r="C396" s="1033" t="s">
        <v>1618</v>
      </c>
      <c r="D396" s="1033"/>
      <c r="E396" s="1033"/>
      <c r="F396" s="1033"/>
      <c r="G396" s="343" t="s">
        <v>109</v>
      </c>
      <c r="H396" s="412"/>
      <c r="I396" s="413">
        <v>0.14000000000000001</v>
      </c>
      <c r="J396" s="413">
        <f>0.14+4.06+0.14+5.34+0.14+5.51+0.14</f>
        <v>15.47</v>
      </c>
      <c r="K396" s="413">
        <v>0.45</v>
      </c>
      <c r="L396" s="400"/>
      <c r="M396" s="411"/>
      <c r="N396" s="400"/>
      <c r="O396" s="400">
        <f>I396*K396*J396</f>
        <v>0.97461000000000031</v>
      </c>
    </row>
    <row r="397" spans="1:15" s="109" customFormat="1" ht="15" customHeight="1">
      <c r="A397" s="376"/>
      <c r="B397" s="376"/>
      <c r="C397" s="1033" t="s">
        <v>1619</v>
      </c>
      <c r="D397" s="1033"/>
      <c r="E397" s="1033"/>
      <c r="F397" s="1033"/>
      <c r="G397" s="343" t="s">
        <v>109</v>
      </c>
      <c r="H397" s="412"/>
      <c r="I397" s="413">
        <v>0.14000000000000001</v>
      </c>
      <c r="J397" s="413">
        <f>0.14+2.51+0.14+2.51+0.14+1.51+0.14+1.85+0.14+1.81+0.14+1.51+0.14</f>
        <v>12.680000000000001</v>
      </c>
      <c r="K397" s="413">
        <v>0.45</v>
      </c>
      <c r="L397" s="400"/>
      <c r="M397" s="411"/>
      <c r="N397" s="400"/>
      <c r="O397" s="400">
        <f t="shared" ref="O397:O478" si="19">I397*K397*J397</f>
        <v>0.79884000000000033</v>
      </c>
    </row>
    <row r="398" spans="1:15" s="109" customFormat="1" ht="15" customHeight="1">
      <c r="A398" s="376"/>
      <c r="B398" s="376"/>
      <c r="C398" s="1033" t="s">
        <v>1620</v>
      </c>
      <c r="D398" s="1033"/>
      <c r="E398" s="1033"/>
      <c r="F398" s="1033"/>
      <c r="G398" s="343" t="s">
        <v>109</v>
      </c>
      <c r="H398" s="412"/>
      <c r="I398" s="413">
        <v>0.14000000000000001</v>
      </c>
      <c r="J398" s="413">
        <f>0.14+5.51+0.14</f>
        <v>5.7899999999999991</v>
      </c>
      <c r="K398" s="413">
        <v>0.45</v>
      </c>
      <c r="L398" s="400"/>
      <c r="M398" s="411"/>
      <c r="N398" s="400"/>
      <c r="O398" s="400">
        <f t="shared" si="19"/>
        <v>0.36477000000000004</v>
      </c>
    </row>
    <row r="399" spans="1:15" s="109" customFormat="1" ht="15" customHeight="1">
      <c r="A399" s="342"/>
      <c r="B399" s="342"/>
      <c r="C399" s="1033" t="s">
        <v>1621</v>
      </c>
      <c r="D399" s="1033"/>
      <c r="E399" s="1033"/>
      <c r="F399" s="1033"/>
      <c r="G399" s="343" t="s">
        <v>109</v>
      </c>
      <c r="H399" s="412"/>
      <c r="I399" s="413">
        <v>0.14000000000000001</v>
      </c>
      <c r="J399" s="413">
        <f>0.14+1.51+0.14+1.85+0.14+1.71+0.14+1.51+0.14</f>
        <v>7.2799999999999994</v>
      </c>
      <c r="K399" s="413">
        <v>0.35</v>
      </c>
      <c r="L399" s="414"/>
      <c r="M399" s="414"/>
      <c r="N399" s="381"/>
      <c r="O399" s="400">
        <f t="shared" si="19"/>
        <v>0.35671999999999998</v>
      </c>
    </row>
    <row r="400" spans="1:15" s="109" customFormat="1" ht="15" customHeight="1">
      <c r="A400" s="342"/>
      <c r="B400" s="342"/>
      <c r="C400" s="1033" t="s">
        <v>1622</v>
      </c>
      <c r="D400" s="1033"/>
      <c r="E400" s="1033"/>
      <c r="F400" s="1033"/>
      <c r="G400" s="343" t="s">
        <v>109</v>
      </c>
      <c r="H400" s="412"/>
      <c r="I400" s="413">
        <v>0.14000000000000001</v>
      </c>
      <c r="J400" s="413">
        <v>5.62</v>
      </c>
      <c r="K400" s="413">
        <v>0.45</v>
      </c>
      <c r="L400" s="414"/>
      <c r="M400" s="414"/>
      <c r="N400" s="381"/>
      <c r="O400" s="400">
        <f t="shared" si="19"/>
        <v>0.3540600000000001</v>
      </c>
    </row>
    <row r="401" spans="1:15" s="109" customFormat="1" ht="15" customHeight="1">
      <c r="A401" s="342"/>
      <c r="B401" s="342"/>
      <c r="C401" s="1033" t="s">
        <v>1623</v>
      </c>
      <c r="D401" s="1033"/>
      <c r="E401" s="1033"/>
      <c r="F401" s="1033"/>
      <c r="G401" s="343" t="s">
        <v>109</v>
      </c>
      <c r="H401" s="412"/>
      <c r="I401" s="413">
        <v>0.14000000000000001</v>
      </c>
      <c r="J401" s="413">
        <v>9.93</v>
      </c>
      <c r="K401" s="413">
        <v>0.45</v>
      </c>
      <c r="L401" s="414"/>
      <c r="M401" s="414"/>
      <c r="N401" s="381"/>
      <c r="O401" s="400">
        <f t="shared" si="19"/>
        <v>0.62559000000000009</v>
      </c>
    </row>
    <row r="402" spans="1:15" s="109" customFormat="1" ht="15" customHeight="1">
      <c r="A402" s="342"/>
      <c r="B402" s="342"/>
      <c r="C402" s="1033" t="s">
        <v>1624</v>
      </c>
      <c r="D402" s="1033"/>
      <c r="E402" s="1033"/>
      <c r="F402" s="1033"/>
      <c r="G402" s="343" t="s">
        <v>109</v>
      </c>
      <c r="H402" s="412"/>
      <c r="I402" s="413">
        <v>0.14000000000000001</v>
      </c>
      <c r="J402" s="413">
        <v>4.6900000000000004</v>
      </c>
      <c r="K402" s="413">
        <v>0.45</v>
      </c>
      <c r="L402" s="414"/>
      <c r="M402" s="414"/>
      <c r="N402" s="381"/>
      <c r="O402" s="400">
        <f t="shared" si="19"/>
        <v>0.29547000000000007</v>
      </c>
    </row>
    <row r="403" spans="1:15" s="109" customFormat="1" ht="15" customHeight="1">
      <c r="A403" s="342"/>
      <c r="B403" s="342"/>
      <c r="C403" s="1033" t="s">
        <v>1625</v>
      </c>
      <c r="D403" s="1033"/>
      <c r="E403" s="1033"/>
      <c r="F403" s="1033"/>
      <c r="G403" s="343" t="s">
        <v>109</v>
      </c>
      <c r="H403" s="412"/>
      <c r="I403" s="413">
        <v>0.14000000000000001</v>
      </c>
      <c r="J403" s="413">
        <v>5.69</v>
      </c>
      <c r="K403" s="413">
        <v>0.45</v>
      </c>
      <c r="L403" s="414"/>
      <c r="M403" s="414"/>
      <c r="N403" s="381"/>
      <c r="O403" s="400">
        <f t="shared" si="19"/>
        <v>0.35847000000000012</v>
      </c>
    </row>
    <row r="404" spans="1:15" s="109" customFormat="1" ht="15" customHeight="1">
      <c r="A404" s="342"/>
      <c r="B404" s="342"/>
      <c r="C404" s="1033" t="s">
        <v>1626</v>
      </c>
      <c r="D404" s="1033"/>
      <c r="E404" s="1033"/>
      <c r="F404" s="1033"/>
      <c r="G404" s="343" t="s">
        <v>109</v>
      </c>
      <c r="H404" s="412"/>
      <c r="I404" s="413">
        <v>0.14000000000000001</v>
      </c>
      <c r="J404" s="413">
        <v>4.6900000000000004</v>
      </c>
      <c r="K404" s="413">
        <v>0.45</v>
      </c>
      <c r="L404" s="414"/>
      <c r="M404" s="414"/>
      <c r="N404" s="381"/>
      <c r="O404" s="400">
        <f t="shared" si="19"/>
        <v>0.29547000000000007</v>
      </c>
    </row>
    <row r="405" spans="1:15" s="109" customFormat="1" ht="15" customHeight="1">
      <c r="A405" s="342"/>
      <c r="B405" s="342"/>
      <c r="C405" s="1033" t="s">
        <v>1627</v>
      </c>
      <c r="D405" s="1033"/>
      <c r="E405" s="1033"/>
      <c r="F405" s="1033"/>
      <c r="G405" s="343" t="s">
        <v>109</v>
      </c>
      <c r="H405" s="412"/>
      <c r="I405" s="413">
        <v>0.14000000000000001</v>
      </c>
      <c r="J405" s="413">
        <v>12.45</v>
      </c>
      <c r="K405" s="413">
        <v>0.35</v>
      </c>
      <c r="L405" s="414"/>
      <c r="M405" s="414"/>
      <c r="N405" s="381"/>
      <c r="O405" s="400">
        <f t="shared" si="19"/>
        <v>0.61004999999999998</v>
      </c>
    </row>
    <row r="406" spans="1:15" s="109" customFormat="1" ht="15" customHeight="1">
      <c r="A406" s="342"/>
      <c r="B406" s="342"/>
      <c r="C406" s="1033" t="s">
        <v>1628</v>
      </c>
      <c r="D406" s="1033"/>
      <c r="E406" s="1033"/>
      <c r="F406" s="1033"/>
      <c r="G406" s="343" t="s">
        <v>109</v>
      </c>
      <c r="H406" s="412"/>
      <c r="I406" s="413">
        <v>0.14000000000000001</v>
      </c>
      <c r="J406" s="413">
        <v>19.22</v>
      </c>
      <c r="K406" s="413">
        <v>0.45</v>
      </c>
      <c r="L406" s="414"/>
      <c r="M406" s="414"/>
      <c r="N406" s="381"/>
      <c r="O406" s="400">
        <f t="shared" si="19"/>
        <v>1.2108600000000003</v>
      </c>
    </row>
    <row r="407" spans="1:15" s="109" customFormat="1" ht="15" customHeight="1">
      <c r="A407" s="376"/>
      <c r="B407" s="376"/>
      <c r="C407" s="1033" t="s">
        <v>1629</v>
      </c>
      <c r="D407" s="1033"/>
      <c r="E407" s="1033"/>
      <c r="F407" s="1033"/>
      <c r="G407" s="343" t="s">
        <v>109</v>
      </c>
      <c r="H407" s="412"/>
      <c r="I407" s="413">
        <v>0.14000000000000001</v>
      </c>
      <c r="J407" s="413">
        <v>16.420000000000002</v>
      </c>
      <c r="K407" s="413">
        <v>0.45</v>
      </c>
      <c r="L407" s="400"/>
      <c r="M407" s="411"/>
      <c r="N407" s="400"/>
      <c r="O407" s="400">
        <f t="shared" si="19"/>
        <v>1.0344600000000004</v>
      </c>
    </row>
    <row r="408" spans="1:15" s="109" customFormat="1" ht="15" customHeight="1">
      <c r="A408" s="376"/>
      <c r="B408" s="376"/>
      <c r="C408" s="1033" t="s">
        <v>1630</v>
      </c>
      <c r="D408" s="1033"/>
      <c r="E408" s="1033"/>
      <c r="F408" s="1033"/>
      <c r="G408" s="343" t="s">
        <v>109</v>
      </c>
      <c r="H408" s="412"/>
      <c r="I408" s="413">
        <v>0.14000000000000001</v>
      </c>
      <c r="J408" s="413">
        <v>4.5999999999999996</v>
      </c>
      <c r="K408" s="413">
        <v>0.45</v>
      </c>
      <c r="L408" s="400"/>
      <c r="M408" s="411"/>
      <c r="N408" s="400"/>
      <c r="O408" s="400">
        <f t="shared" si="19"/>
        <v>0.28980000000000006</v>
      </c>
    </row>
    <row r="409" spans="1:15" s="109" customFormat="1" ht="15" customHeight="1">
      <c r="A409" s="376"/>
      <c r="B409" s="376"/>
      <c r="C409" s="1033" t="s">
        <v>1631</v>
      </c>
      <c r="D409" s="1033"/>
      <c r="E409" s="1033"/>
      <c r="F409" s="1033"/>
      <c r="G409" s="343" t="s">
        <v>109</v>
      </c>
      <c r="H409" s="412"/>
      <c r="I409" s="413">
        <v>0.14000000000000001</v>
      </c>
      <c r="J409" s="413">
        <v>16.78</v>
      </c>
      <c r="K409" s="413">
        <v>0.45</v>
      </c>
      <c r="L409" s="400"/>
      <c r="M409" s="411"/>
      <c r="N409" s="400"/>
      <c r="O409" s="400">
        <f t="shared" si="19"/>
        <v>1.0571400000000004</v>
      </c>
    </row>
    <row r="410" spans="1:15" s="109" customFormat="1" ht="15" customHeight="1">
      <c r="A410" s="376"/>
      <c r="B410" s="376"/>
      <c r="C410" s="1033" t="s">
        <v>1632</v>
      </c>
      <c r="D410" s="1033"/>
      <c r="E410" s="1033"/>
      <c r="F410" s="1033"/>
      <c r="G410" s="343" t="s">
        <v>109</v>
      </c>
      <c r="H410" s="412"/>
      <c r="I410" s="413">
        <v>0.14000000000000001</v>
      </c>
      <c r="J410" s="413">
        <v>6.9</v>
      </c>
      <c r="K410" s="413">
        <v>0.5</v>
      </c>
      <c r="L410" s="400"/>
      <c r="M410" s="411"/>
      <c r="N410" s="400"/>
      <c r="O410" s="400">
        <f t="shared" si="19"/>
        <v>0.4830000000000001</v>
      </c>
    </row>
    <row r="411" spans="1:15" s="109" customFormat="1" ht="15" customHeight="1">
      <c r="A411" s="342"/>
      <c r="B411" s="342"/>
      <c r="C411" s="1033" t="s">
        <v>1633</v>
      </c>
      <c r="D411" s="1033"/>
      <c r="E411" s="1033"/>
      <c r="F411" s="1033"/>
      <c r="G411" s="343" t="s">
        <v>109</v>
      </c>
      <c r="H411" s="412"/>
      <c r="I411" s="413">
        <v>0.14000000000000001</v>
      </c>
      <c r="J411" s="413">
        <v>16.420000000000002</v>
      </c>
      <c r="K411" s="413">
        <v>0.45</v>
      </c>
      <c r="L411" s="414"/>
      <c r="M411" s="414"/>
      <c r="N411" s="381"/>
      <c r="O411" s="400">
        <f t="shared" si="19"/>
        <v>1.0344600000000004</v>
      </c>
    </row>
    <row r="412" spans="1:15" s="109" customFormat="1" ht="15" customHeight="1">
      <c r="A412" s="342"/>
      <c r="B412" s="342"/>
      <c r="C412" s="1033" t="s">
        <v>1634</v>
      </c>
      <c r="D412" s="1033"/>
      <c r="E412" s="1033"/>
      <c r="F412" s="1033"/>
      <c r="G412" s="343" t="s">
        <v>109</v>
      </c>
      <c r="H412" s="412"/>
      <c r="I412" s="413">
        <v>0.14000000000000001</v>
      </c>
      <c r="J412" s="413">
        <v>9.98</v>
      </c>
      <c r="K412" s="413">
        <v>0.4</v>
      </c>
      <c r="L412" s="414"/>
      <c r="M412" s="414"/>
      <c r="N412" s="381"/>
      <c r="O412" s="400">
        <f t="shared" si="19"/>
        <v>0.55888000000000015</v>
      </c>
    </row>
    <row r="413" spans="1:15" s="109" customFormat="1" ht="15" customHeight="1">
      <c r="A413" s="342"/>
      <c r="B413" s="342"/>
      <c r="C413" s="1033" t="s">
        <v>1635</v>
      </c>
      <c r="D413" s="1033"/>
      <c r="E413" s="1033"/>
      <c r="F413" s="1033"/>
      <c r="G413" s="343" t="s">
        <v>109</v>
      </c>
      <c r="H413" s="412"/>
      <c r="I413" s="413">
        <v>0.14000000000000001</v>
      </c>
      <c r="J413" s="413">
        <v>11.17</v>
      </c>
      <c r="K413" s="413">
        <v>0.45</v>
      </c>
      <c r="L413" s="414"/>
      <c r="M413" s="414"/>
      <c r="N413" s="381"/>
      <c r="O413" s="400">
        <f t="shared" si="19"/>
        <v>0.70371000000000017</v>
      </c>
    </row>
    <row r="414" spans="1:15" s="109" customFormat="1" ht="15" customHeight="1">
      <c r="A414" s="342"/>
      <c r="B414" s="342"/>
      <c r="C414" s="1033" t="s">
        <v>1636</v>
      </c>
      <c r="D414" s="1033"/>
      <c r="E414" s="1033"/>
      <c r="F414" s="1033"/>
      <c r="G414" s="343" t="s">
        <v>109</v>
      </c>
      <c r="H414" s="412"/>
      <c r="I414" s="413">
        <v>0.14000000000000001</v>
      </c>
      <c r="J414" s="413">
        <v>5.79</v>
      </c>
      <c r="K414" s="413">
        <v>0.45</v>
      </c>
      <c r="L414" s="414"/>
      <c r="M414" s="414"/>
      <c r="N414" s="381"/>
      <c r="O414" s="400">
        <f t="shared" si="19"/>
        <v>0.36477000000000009</v>
      </c>
    </row>
    <row r="415" spans="1:15" s="109" customFormat="1" ht="15" customHeight="1">
      <c r="A415" s="342"/>
      <c r="B415" s="342"/>
      <c r="C415" s="1033" t="s">
        <v>1637</v>
      </c>
      <c r="D415" s="1033"/>
      <c r="E415" s="1033"/>
      <c r="F415" s="1033"/>
      <c r="G415" s="343" t="s">
        <v>109</v>
      </c>
      <c r="H415" s="412"/>
      <c r="I415" s="413">
        <v>0.14000000000000001</v>
      </c>
      <c r="J415" s="413">
        <v>19.97</v>
      </c>
      <c r="K415" s="413">
        <v>0.4</v>
      </c>
      <c r="L415" s="414"/>
      <c r="M415" s="414"/>
      <c r="N415" s="381"/>
      <c r="O415" s="400">
        <f t="shared" si="19"/>
        <v>1.1183200000000002</v>
      </c>
    </row>
    <row r="416" spans="1:15" s="109" customFormat="1" ht="15" customHeight="1">
      <c r="A416" s="342"/>
      <c r="B416" s="342"/>
      <c r="C416" s="1033" t="s">
        <v>1638</v>
      </c>
      <c r="D416" s="1033"/>
      <c r="E416" s="1033"/>
      <c r="F416" s="1033"/>
      <c r="G416" s="343" t="s">
        <v>109</v>
      </c>
      <c r="H416" s="412"/>
      <c r="I416" s="413">
        <v>0.14000000000000001</v>
      </c>
      <c r="J416" s="413">
        <v>6.09</v>
      </c>
      <c r="K416" s="413">
        <v>0.4</v>
      </c>
      <c r="L416" s="414"/>
      <c r="M416" s="414"/>
      <c r="N416" s="381"/>
      <c r="O416" s="400">
        <f t="shared" si="19"/>
        <v>0.34104000000000007</v>
      </c>
    </row>
    <row r="417" spans="1:15" s="109" customFormat="1" ht="15" customHeight="1">
      <c r="A417" s="342"/>
      <c r="B417" s="342"/>
      <c r="C417" s="1033" t="s">
        <v>1639</v>
      </c>
      <c r="D417" s="1033"/>
      <c r="E417" s="1033"/>
      <c r="F417" s="1033"/>
      <c r="G417" s="343" t="s">
        <v>109</v>
      </c>
      <c r="H417" s="412"/>
      <c r="I417" s="413">
        <v>0.14000000000000001</v>
      </c>
      <c r="J417" s="413">
        <v>4.04</v>
      </c>
      <c r="K417" s="413">
        <v>0.4</v>
      </c>
      <c r="L417" s="414"/>
      <c r="M417" s="414"/>
      <c r="N417" s="381"/>
      <c r="O417" s="400">
        <f t="shared" si="19"/>
        <v>0.22624000000000002</v>
      </c>
    </row>
    <row r="418" spans="1:15" s="109" customFormat="1" ht="15" customHeight="1">
      <c r="A418" s="342"/>
      <c r="B418" s="342"/>
      <c r="C418" s="1033" t="s">
        <v>1640</v>
      </c>
      <c r="D418" s="1033"/>
      <c r="E418" s="1033"/>
      <c r="F418" s="1033"/>
      <c r="G418" s="343" t="s">
        <v>109</v>
      </c>
      <c r="H418" s="412"/>
      <c r="I418" s="413">
        <v>0.14000000000000001</v>
      </c>
      <c r="J418" s="413">
        <v>3.4875000000000003</v>
      </c>
      <c r="K418" s="413">
        <v>0.45</v>
      </c>
      <c r="L418" s="414"/>
      <c r="M418" s="414"/>
      <c r="N418" s="381"/>
      <c r="O418" s="400">
        <f t="shared" si="19"/>
        <v>0.21971250000000006</v>
      </c>
    </row>
    <row r="419" spans="1:15" s="109" customFormat="1" ht="15" customHeight="1">
      <c r="A419" s="376"/>
      <c r="B419" s="376"/>
      <c r="C419" s="1033" t="s">
        <v>1641</v>
      </c>
      <c r="D419" s="1033"/>
      <c r="E419" s="1033"/>
      <c r="F419" s="1033"/>
      <c r="G419" s="343" t="s">
        <v>109</v>
      </c>
      <c r="H419" s="412"/>
      <c r="I419" s="413">
        <v>0.14000000000000001</v>
      </c>
      <c r="J419" s="413">
        <v>7.3424999999999994</v>
      </c>
      <c r="K419" s="413">
        <v>0.4</v>
      </c>
      <c r="L419" s="414"/>
      <c r="M419" s="411"/>
      <c r="N419" s="400"/>
      <c r="O419" s="400">
        <f t="shared" si="19"/>
        <v>0.41118000000000005</v>
      </c>
    </row>
    <row r="420" spans="1:15" s="109" customFormat="1" ht="15" customHeight="1">
      <c r="A420" s="376"/>
      <c r="B420" s="376"/>
      <c r="C420" s="1033" t="s">
        <v>1642</v>
      </c>
      <c r="D420" s="1033"/>
      <c r="E420" s="1033"/>
      <c r="F420" s="1033"/>
      <c r="G420" s="343" t="s">
        <v>109</v>
      </c>
      <c r="H420" s="412"/>
      <c r="I420" s="413">
        <v>0.14000000000000001</v>
      </c>
      <c r="J420" s="413">
        <v>6.09</v>
      </c>
      <c r="K420" s="413">
        <v>0.4</v>
      </c>
      <c r="L420" s="414"/>
      <c r="M420" s="411"/>
      <c r="N420" s="400"/>
      <c r="O420" s="400">
        <f t="shared" si="19"/>
        <v>0.34104000000000007</v>
      </c>
    </row>
    <row r="421" spans="1:15" s="109" customFormat="1" ht="15" customHeight="1">
      <c r="A421" s="376"/>
      <c r="B421" s="376"/>
      <c r="C421" s="1033" t="s">
        <v>1643</v>
      </c>
      <c r="D421" s="1033"/>
      <c r="E421" s="1033"/>
      <c r="F421" s="1033"/>
      <c r="G421" s="343" t="s">
        <v>109</v>
      </c>
      <c r="H421" s="412"/>
      <c r="I421" s="413">
        <v>0.14000000000000001</v>
      </c>
      <c r="J421" s="413">
        <v>13.649999999999999</v>
      </c>
      <c r="K421" s="413">
        <v>0.55000000000000004</v>
      </c>
      <c r="L421" s="414"/>
      <c r="M421" s="411"/>
      <c r="N421" s="400"/>
      <c r="O421" s="400">
        <f t="shared" si="19"/>
        <v>1.05105</v>
      </c>
    </row>
    <row r="422" spans="1:15" s="109" customFormat="1" ht="15" customHeight="1">
      <c r="A422" s="376"/>
      <c r="B422" s="376"/>
      <c r="C422" s="1033" t="s">
        <v>1644</v>
      </c>
      <c r="D422" s="1033"/>
      <c r="E422" s="1033"/>
      <c r="F422" s="1033"/>
      <c r="G422" s="343" t="s">
        <v>109</v>
      </c>
      <c r="H422" s="412"/>
      <c r="I422" s="413">
        <v>0.14000000000000001</v>
      </c>
      <c r="J422" s="413">
        <v>7.3424999999999994</v>
      </c>
      <c r="K422" s="413">
        <v>0.4</v>
      </c>
      <c r="L422" s="414"/>
      <c r="M422" s="411"/>
      <c r="N422" s="400"/>
      <c r="O422" s="400">
        <f t="shared" si="19"/>
        <v>0.41118000000000005</v>
      </c>
    </row>
    <row r="423" spans="1:15" s="109" customFormat="1" ht="15" customHeight="1">
      <c r="A423" s="342"/>
      <c r="B423" s="342"/>
      <c r="C423" s="1033" t="s">
        <v>1645</v>
      </c>
      <c r="D423" s="1033"/>
      <c r="E423" s="1033"/>
      <c r="F423" s="1033"/>
      <c r="G423" s="343" t="s">
        <v>109</v>
      </c>
      <c r="H423" s="412"/>
      <c r="I423" s="413">
        <v>0.14000000000000001</v>
      </c>
      <c r="J423" s="413">
        <v>4.0424999999999995</v>
      </c>
      <c r="K423" s="413">
        <v>0.4</v>
      </c>
      <c r="L423" s="414"/>
      <c r="M423" s="414"/>
      <c r="N423" s="381"/>
      <c r="O423" s="400">
        <f t="shared" si="19"/>
        <v>0.22638</v>
      </c>
    </row>
    <row r="424" spans="1:15" s="109" customFormat="1" ht="15" customHeight="1">
      <c r="A424" s="342"/>
      <c r="B424" s="342"/>
      <c r="C424" s="1033" t="s">
        <v>1646</v>
      </c>
      <c r="D424" s="1033"/>
      <c r="E424" s="1033"/>
      <c r="F424" s="1033"/>
      <c r="G424" s="343" t="s">
        <v>109</v>
      </c>
      <c r="H424" s="412"/>
      <c r="I424" s="413">
        <v>0.14000000000000001</v>
      </c>
      <c r="J424" s="413">
        <v>3.84</v>
      </c>
      <c r="K424" s="413">
        <v>0.4</v>
      </c>
      <c r="L424" s="414"/>
      <c r="M424" s="414"/>
      <c r="N424" s="381"/>
      <c r="O424" s="400">
        <f t="shared" si="19"/>
        <v>0.21504000000000004</v>
      </c>
    </row>
    <row r="425" spans="1:15" s="109" customFormat="1" ht="15" customHeight="1">
      <c r="A425" s="342"/>
      <c r="B425" s="342"/>
      <c r="C425" s="1033" t="s">
        <v>1647</v>
      </c>
      <c r="D425" s="1033"/>
      <c r="E425" s="1033"/>
      <c r="F425" s="1033"/>
      <c r="G425" s="343" t="s">
        <v>109</v>
      </c>
      <c r="H425" s="412"/>
      <c r="I425" s="413">
        <v>0.14000000000000001</v>
      </c>
      <c r="J425" s="413">
        <v>5.1974999999999998</v>
      </c>
      <c r="K425" s="413">
        <v>0.4</v>
      </c>
      <c r="L425" s="414"/>
      <c r="M425" s="414"/>
      <c r="N425" s="381"/>
      <c r="O425" s="400">
        <f t="shared" si="19"/>
        <v>0.29106000000000004</v>
      </c>
    </row>
    <row r="426" spans="1:15" s="109" customFormat="1" ht="15" customHeight="1">
      <c r="A426" s="342"/>
      <c r="B426" s="342"/>
      <c r="C426" s="1033" t="s">
        <v>1648</v>
      </c>
      <c r="D426" s="1033"/>
      <c r="E426" s="1033"/>
      <c r="F426" s="1033"/>
      <c r="G426" s="343" t="s">
        <v>109</v>
      </c>
      <c r="H426" s="412"/>
      <c r="I426" s="413">
        <v>0.14000000000000001</v>
      </c>
      <c r="J426" s="413">
        <v>4.9875000000000007</v>
      </c>
      <c r="K426" s="413">
        <v>0.4</v>
      </c>
      <c r="L426" s="414"/>
      <c r="M426" s="414"/>
      <c r="N426" s="381"/>
      <c r="O426" s="400">
        <f t="shared" si="19"/>
        <v>0.2793000000000001</v>
      </c>
    </row>
    <row r="427" spans="1:15" s="109" customFormat="1" ht="15" customHeight="1">
      <c r="A427" s="342"/>
      <c r="B427" s="342"/>
      <c r="C427" s="1033" t="s">
        <v>1649</v>
      </c>
      <c r="D427" s="1033"/>
      <c r="E427" s="1033"/>
      <c r="F427" s="1033"/>
      <c r="G427" s="343" t="s">
        <v>109</v>
      </c>
      <c r="H427" s="412"/>
      <c r="I427" s="413">
        <v>0.14000000000000001</v>
      </c>
      <c r="J427" s="413">
        <v>4.125</v>
      </c>
      <c r="K427" s="413">
        <v>0.4</v>
      </c>
      <c r="L427" s="414"/>
      <c r="M427" s="414"/>
      <c r="N427" s="381"/>
      <c r="O427" s="400">
        <f t="shared" si="19"/>
        <v>0.23100000000000004</v>
      </c>
    </row>
    <row r="428" spans="1:15" s="109" customFormat="1" ht="15" customHeight="1">
      <c r="A428" s="342"/>
      <c r="B428" s="342"/>
      <c r="C428" s="1033" t="s">
        <v>1650</v>
      </c>
      <c r="D428" s="1033"/>
      <c r="E428" s="1033"/>
      <c r="F428" s="1033"/>
      <c r="G428" s="343" t="s">
        <v>109</v>
      </c>
      <c r="H428" s="412"/>
      <c r="I428" s="413">
        <v>0.14000000000000001</v>
      </c>
      <c r="J428" s="413">
        <v>5.4375</v>
      </c>
      <c r="K428" s="413">
        <v>0.35</v>
      </c>
      <c r="L428" s="414"/>
      <c r="M428" s="414"/>
      <c r="N428" s="381"/>
      <c r="O428" s="400">
        <f t="shared" si="19"/>
        <v>0.26643749999999999</v>
      </c>
    </row>
    <row r="429" spans="1:15" s="109" customFormat="1" ht="15" customHeight="1">
      <c r="A429" s="376"/>
      <c r="B429" s="376"/>
      <c r="C429" s="1033" t="s">
        <v>1651</v>
      </c>
      <c r="D429" s="1033"/>
      <c r="E429" s="1033"/>
      <c r="F429" s="1033"/>
      <c r="G429" s="343" t="s">
        <v>109</v>
      </c>
      <c r="H429" s="412"/>
      <c r="I429" s="413">
        <v>0.14000000000000001</v>
      </c>
      <c r="J429" s="413">
        <v>11.5425</v>
      </c>
      <c r="K429" s="413">
        <v>0.4</v>
      </c>
      <c r="L429" s="414"/>
      <c r="M429" s="411"/>
      <c r="N429" s="381"/>
      <c r="O429" s="400">
        <f t="shared" si="19"/>
        <v>0.64638000000000007</v>
      </c>
    </row>
    <row r="430" spans="1:15" s="109" customFormat="1" ht="15" customHeight="1">
      <c r="A430" s="376"/>
      <c r="B430" s="376"/>
      <c r="C430" s="1033" t="s">
        <v>1652</v>
      </c>
      <c r="D430" s="1033"/>
      <c r="E430" s="1033"/>
      <c r="F430" s="1033"/>
      <c r="G430" s="343" t="s">
        <v>109</v>
      </c>
      <c r="H430" s="412"/>
      <c r="I430" s="413">
        <v>0.14000000000000001</v>
      </c>
      <c r="J430" s="413">
        <v>5.4375</v>
      </c>
      <c r="K430" s="413">
        <v>0.35</v>
      </c>
      <c r="L430" s="414"/>
      <c r="M430" s="411"/>
      <c r="N430" s="381"/>
      <c r="O430" s="400">
        <f t="shared" si="19"/>
        <v>0.26643749999999999</v>
      </c>
    </row>
    <row r="431" spans="1:15" s="109" customFormat="1" ht="15" customHeight="1">
      <c r="A431" s="376"/>
      <c r="B431" s="376"/>
      <c r="C431" s="1033" t="s">
        <v>1653</v>
      </c>
      <c r="D431" s="1033"/>
      <c r="E431" s="1033"/>
      <c r="F431" s="1033"/>
      <c r="G431" s="343" t="s">
        <v>109</v>
      </c>
      <c r="H431" s="412"/>
      <c r="I431" s="413">
        <v>0.2</v>
      </c>
      <c r="J431" s="413">
        <v>10.290000000000001</v>
      </c>
      <c r="K431" s="413">
        <v>0.95</v>
      </c>
      <c r="L431" s="414"/>
      <c r="M431" s="411"/>
      <c r="N431" s="381"/>
      <c r="O431" s="400">
        <f t="shared" si="19"/>
        <v>1.9551000000000003</v>
      </c>
    </row>
    <row r="432" spans="1:15" s="109" customFormat="1" ht="15" customHeight="1">
      <c r="A432" s="376"/>
      <c r="B432" s="376"/>
      <c r="C432" s="1033" t="s">
        <v>1654</v>
      </c>
      <c r="D432" s="1033"/>
      <c r="E432" s="1033"/>
      <c r="F432" s="1033"/>
      <c r="G432" s="343" t="s">
        <v>109</v>
      </c>
      <c r="H432" s="412"/>
      <c r="I432" s="413">
        <v>0.14000000000000001</v>
      </c>
      <c r="J432" s="413">
        <v>5.4375</v>
      </c>
      <c r="K432" s="413">
        <v>0.35</v>
      </c>
      <c r="L432" s="414"/>
      <c r="M432" s="411"/>
      <c r="N432" s="381"/>
      <c r="O432" s="400">
        <f t="shared" si="19"/>
        <v>0.26643749999999999</v>
      </c>
    </row>
    <row r="433" spans="1:15" s="109" customFormat="1" ht="15" customHeight="1">
      <c r="A433" s="342"/>
      <c r="B433" s="342"/>
      <c r="C433" s="1033" t="s">
        <v>1655</v>
      </c>
      <c r="D433" s="1033"/>
      <c r="E433" s="1033"/>
      <c r="F433" s="1033"/>
      <c r="G433" s="343" t="s">
        <v>109</v>
      </c>
      <c r="H433" s="412"/>
      <c r="I433" s="413">
        <v>0.14000000000000001</v>
      </c>
      <c r="J433" s="413">
        <v>1.4924999999999999</v>
      </c>
      <c r="K433" s="413">
        <v>0.35</v>
      </c>
      <c r="L433" s="414"/>
      <c r="M433" s="414"/>
      <c r="N433" s="381"/>
      <c r="O433" s="400">
        <f t="shared" si="19"/>
        <v>7.3132500000000003E-2</v>
      </c>
    </row>
    <row r="434" spans="1:15" s="109" customFormat="1" ht="15" customHeight="1">
      <c r="A434" s="342"/>
      <c r="B434" s="342"/>
      <c r="C434" s="1033" t="s">
        <v>1656</v>
      </c>
      <c r="D434" s="1033"/>
      <c r="E434" s="1033"/>
      <c r="F434" s="1033"/>
      <c r="G434" s="343" t="s">
        <v>109</v>
      </c>
      <c r="H434" s="412"/>
      <c r="I434" s="413">
        <v>0.2</v>
      </c>
      <c r="J434" s="413">
        <v>10.290000000000001</v>
      </c>
      <c r="K434" s="413">
        <v>0.95</v>
      </c>
      <c r="L434" s="414"/>
      <c r="M434" s="414"/>
      <c r="N434" s="381"/>
      <c r="O434" s="400">
        <f t="shared" si="19"/>
        <v>1.9551000000000003</v>
      </c>
    </row>
    <row r="435" spans="1:15" s="109" customFormat="1" ht="15" customHeight="1">
      <c r="A435" s="342"/>
      <c r="B435" s="342"/>
      <c r="C435" s="1033" t="s">
        <v>1657</v>
      </c>
      <c r="D435" s="1033"/>
      <c r="E435" s="1033"/>
      <c r="F435" s="1033"/>
      <c r="G435" s="343" t="s">
        <v>109</v>
      </c>
      <c r="H435" s="412"/>
      <c r="I435" s="413">
        <v>0.14000000000000001</v>
      </c>
      <c r="J435" s="413">
        <v>5.4375</v>
      </c>
      <c r="K435" s="413">
        <v>0.35</v>
      </c>
      <c r="L435" s="414"/>
      <c r="M435" s="414"/>
      <c r="N435" s="381"/>
      <c r="O435" s="400">
        <f t="shared" si="19"/>
        <v>0.26643749999999999</v>
      </c>
    </row>
    <row r="436" spans="1:15" s="109" customFormat="1" ht="15" customHeight="1">
      <c r="A436" s="342"/>
      <c r="B436" s="342"/>
      <c r="C436" s="1033" t="s">
        <v>1658</v>
      </c>
      <c r="D436" s="1033"/>
      <c r="E436" s="1033"/>
      <c r="F436" s="1033"/>
      <c r="G436" s="343" t="s">
        <v>109</v>
      </c>
      <c r="H436" s="412"/>
      <c r="I436" s="413">
        <v>0.2</v>
      </c>
      <c r="J436" s="413">
        <v>10.290000000000001</v>
      </c>
      <c r="K436" s="413">
        <v>0.95</v>
      </c>
      <c r="L436" s="414"/>
      <c r="M436" s="414"/>
      <c r="N436" s="381"/>
      <c r="O436" s="400">
        <f t="shared" si="19"/>
        <v>1.9551000000000003</v>
      </c>
    </row>
    <row r="437" spans="1:15" s="109" customFormat="1" ht="15" customHeight="1">
      <c r="A437" s="342"/>
      <c r="B437" s="342"/>
      <c r="C437" s="1033" t="s">
        <v>1659</v>
      </c>
      <c r="D437" s="1033"/>
      <c r="E437" s="1033"/>
      <c r="F437" s="1033"/>
      <c r="G437" s="343" t="s">
        <v>109</v>
      </c>
      <c r="H437" s="412"/>
      <c r="I437" s="413">
        <v>0.14000000000000001</v>
      </c>
      <c r="J437" s="413">
        <v>1.4924999999999999</v>
      </c>
      <c r="K437" s="413">
        <v>0.35</v>
      </c>
      <c r="L437" s="414"/>
      <c r="M437" s="414"/>
      <c r="N437" s="381"/>
      <c r="O437" s="400">
        <f t="shared" si="19"/>
        <v>7.3132500000000003E-2</v>
      </c>
    </row>
    <row r="438" spans="1:15" s="109" customFormat="1" ht="15" customHeight="1">
      <c r="A438" s="342"/>
      <c r="B438" s="342"/>
      <c r="C438" s="1033" t="s">
        <v>1660</v>
      </c>
      <c r="D438" s="1033"/>
      <c r="E438" s="1033"/>
      <c r="F438" s="1033"/>
      <c r="G438" s="343" t="s">
        <v>109</v>
      </c>
      <c r="H438" s="412"/>
      <c r="I438" s="413">
        <v>0.14000000000000001</v>
      </c>
      <c r="J438" s="413">
        <v>5.4375</v>
      </c>
      <c r="K438" s="413">
        <v>0.35</v>
      </c>
      <c r="L438" s="414"/>
      <c r="M438" s="414"/>
      <c r="N438" s="381"/>
      <c r="O438" s="400">
        <f t="shared" si="19"/>
        <v>0.26643749999999999</v>
      </c>
    </row>
    <row r="439" spans="1:15" s="109" customFormat="1" ht="15" customHeight="1">
      <c r="A439" s="376"/>
      <c r="B439" s="376"/>
      <c r="C439" s="1033" t="s">
        <v>1661</v>
      </c>
      <c r="D439" s="1033"/>
      <c r="E439" s="1033"/>
      <c r="F439" s="1033"/>
      <c r="G439" s="343" t="s">
        <v>109</v>
      </c>
      <c r="H439" s="412"/>
      <c r="I439" s="413">
        <v>0.14000000000000001</v>
      </c>
      <c r="J439" s="413">
        <v>10.290000000000001</v>
      </c>
      <c r="K439" s="413">
        <v>0.4</v>
      </c>
      <c r="L439" s="414"/>
      <c r="M439" s="411"/>
      <c r="N439" s="400"/>
      <c r="O439" s="400">
        <f t="shared" si="19"/>
        <v>0.57624000000000009</v>
      </c>
    </row>
    <row r="440" spans="1:15" s="109" customFormat="1" ht="15" customHeight="1">
      <c r="A440" s="376"/>
      <c r="B440" s="376"/>
      <c r="C440" s="1033" t="s">
        <v>1662</v>
      </c>
      <c r="D440" s="1033"/>
      <c r="E440" s="1033"/>
      <c r="F440" s="1033"/>
      <c r="G440" s="343" t="s">
        <v>109</v>
      </c>
      <c r="H440" s="412"/>
      <c r="I440" s="413">
        <v>0.14000000000000001</v>
      </c>
      <c r="J440" s="413">
        <v>8.0325000000000006</v>
      </c>
      <c r="K440" s="413">
        <v>0.8</v>
      </c>
      <c r="L440" s="414"/>
      <c r="M440" s="411"/>
      <c r="N440" s="400"/>
      <c r="O440" s="400">
        <f t="shared" si="19"/>
        <v>0.89964000000000022</v>
      </c>
    </row>
    <row r="441" spans="1:15" s="109" customFormat="1" ht="15" customHeight="1">
      <c r="A441" s="376"/>
      <c r="B441" s="376"/>
      <c r="C441" s="1033" t="s">
        <v>1663</v>
      </c>
      <c r="D441" s="1033"/>
      <c r="E441" s="1033"/>
      <c r="F441" s="1033"/>
      <c r="G441" s="343" t="s">
        <v>109</v>
      </c>
      <c r="H441" s="412"/>
      <c r="I441" s="413">
        <v>0.14000000000000001</v>
      </c>
      <c r="J441" s="413">
        <v>6.09</v>
      </c>
      <c r="K441" s="413">
        <v>0.45</v>
      </c>
      <c r="L441" s="414"/>
      <c r="M441" s="411"/>
      <c r="N441" s="400"/>
      <c r="O441" s="400">
        <f t="shared" si="19"/>
        <v>0.38367000000000007</v>
      </c>
    </row>
    <row r="442" spans="1:15" s="109" customFormat="1" ht="15" customHeight="1">
      <c r="A442" s="376"/>
      <c r="B442" s="376"/>
      <c r="C442" s="1033" t="s">
        <v>1664</v>
      </c>
      <c r="D442" s="1033"/>
      <c r="E442" s="1033"/>
      <c r="F442" s="1033"/>
      <c r="G442" s="343" t="s">
        <v>109</v>
      </c>
      <c r="H442" s="412"/>
      <c r="I442" s="413">
        <v>0.14000000000000001</v>
      </c>
      <c r="J442" s="413">
        <v>2.9925000000000002</v>
      </c>
      <c r="K442" s="413">
        <v>0.4</v>
      </c>
      <c r="L442" s="414"/>
      <c r="M442" s="411"/>
      <c r="N442" s="400"/>
      <c r="O442" s="400">
        <f t="shared" si="19"/>
        <v>0.16758000000000003</v>
      </c>
    </row>
    <row r="443" spans="1:15" s="109" customFormat="1" ht="15" customHeight="1">
      <c r="A443" s="342"/>
      <c r="B443" s="342"/>
      <c r="C443" s="1033" t="s">
        <v>1665</v>
      </c>
      <c r="D443" s="1033"/>
      <c r="E443" s="1033"/>
      <c r="F443" s="1033"/>
      <c r="G443" s="343" t="s">
        <v>109</v>
      </c>
      <c r="H443" s="412"/>
      <c r="I443" s="413">
        <v>0.14000000000000001</v>
      </c>
      <c r="J443" s="413">
        <v>8.31</v>
      </c>
      <c r="K443" s="413">
        <v>0.45</v>
      </c>
      <c r="L443" s="414"/>
      <c r="M443" s="414"/>
      <c r="N443" s="381"/>
      <c r="O443" s="400">
        <f t="shared" si="19"/>
        <v>0.52353000000000016</v>
      </c>
    </row>
    <row r="444" spans="1:15" s="109" customFormat="1" ht="15" customHeight="1">
      <c r="A444" s="342"/>
      <c r="B444" s="342"/>
      <c r="C444" s="1033" t="s">
        <v>1666</v>
      </c>
      <c r="D444" s="1033"/>
      <c r="E444" s="1033"/>
      <c r="F444" s="1033"/>
      <c r="G444" s="343" t="s">
        <v>109</v>
      </c>
      <c r="H444" s="412"/>
      <c r="I444" s="413">
        <v>0.14000000000000001</v>
      </c>
      <c r="J444" s="413">
        <v>6.09</v>
      </c>
      <c r="K444" s="413">
        <v>0.45</v>
      </c>
      <c r="L444" s="414"/>
      <c r="M444" s="414"/>
      <c r="N444" s="381"/>
      <c r="O444" s="400">
        <f t="shared" si="19"/>
        <v>0.38367000000000007</v>
      </c>
    </row>
    <row r="445" spans="1:15" s="109" customFormat="1" ht="15" customHeight="1">
      <c r="A445" s="342"/>
      <c r="B445" s="342"/>
      <c r="C445" s="1033" t="s">
        <v>1667</v>
      </c>
      <c r="D445" s="1033"/>
      <c r="E445" s="1033"/>
      <c r="F445" s="1033"/>
      <c r="G445" s="343" t="s">
        <v>109</v>
      </c>
      <c r="H445" s="412"/>
      <c r="I445" s="413">
        <v>0.14000000000000001</v>
      </c>
      <c r="J445" s="413">
        <v>6.09</v>
      </c>
      <c r="K445" s="413">
        <v>0.45</v>
      </c>
      <c r="L445" s="414"/>
      <c r="M445" s="414"/>
      <c r="N445" s="381"/>
      <c r="O445" s="400">
        <f t="shared" si="19"/>
        <v>0.38367000000000007</v>
      </c>
    </row>
    <row r="446" spans="1:15" s="109" customFormat="1" ht="15" customHeight="1">
      <c r="A446" s="342"/>
      <c r="B446" s="342"/>
      <c r="C446" s="1033" t="s">
        <v>1668</v>
      </c>
      <c r="D446" s="1033"/>
      <c r="E446" s="1033"/>
      <c r="F446" s="1033"/>
      <c r="G446" s="343" t="s">
        <v>109</v>
      </c>
      <c r="H446" s="412"/>
      <c r="I446" s="413">
        <v>0.14000000000000001</v>
      </c>
      <c r="J446" s="413">
        <v>11.58</v>
      </c>
      <c r="K446" s="413">
        <v>0.45</v>
      </c>
      <c r="L446" s="414"/>
      <c r="M446" s="414"/>
      <c r="N446" s="381"/>
      <c r="O446" s="400">
        <f t="shared" si="19"/>
        <v>0.72954000000000019</v>
      </c>
    </row>
    <row r="447" spans="1:15" s="109" customFormat="1" ht="15" customHeight="1">
      <c r="A447" s="342"/>
      <c r="B447" s="342"/>
      <c r="C447" s="1033" t="s">
        <v>1669</v>
      </c>
      <c r="D447" s="1033"/>
      <c r="E447" s="1033"/>
      <c r="F447" s="1033"/>
      <c r="G447" s="343" t="s">
        <v>109</v>
      </c>
      <c r="H447" s="412"/>
      <c r="I447" s="413">
        <v>0.14000000000000001</v>
      </c>
      <c r="J447" s="413">
        <v>4.3425000000000002</v>
      </c>
      <c r="K447" s="413">
        <v>0.4</v>
      </c>
      <c r="L447" s="414"/>
      <c r="M447" s="414"/>
      <c r="N447" s="381"/>
      <c r="O447" s="400">
        <f t="shared" si="19"/>
        <v>0.24318000000000006</v>
      </c>
    </row>
    <row r="448" spans="1:15" s="109" customFormat="1" ht="15" customHeight="1">
      <c r="A448" s="342"/>
      <c r="B448" s="342"/>
      <c r="C448" s="1033" t="s">
        <v>1670</v>
      </c>
      <c r="D448" s="1033"/>
      <c r="E448" s="1033"/>
      <c r="F448" s="1033"/>
      <c r="G448" s="343" t="s">
        <v>109</v>
      </c>
      <c r="H448" s="412"/>
      <c r="I448" s="413">
        <v>0.14000000000000001</v>
      </c>
      <c r="J448" s="413">
        <v>5.13</v>
      </c>
      <c r="K448" s="413">
        <v>0.45</v>
      </c>
      <c r="L448" s="414"/>
      <c r="M448" s="414"/>
      <c r="N448" s="381"/>
      <c r="O448" s="400">
        <f t="shared" si="19"/>
        <v>0.32319000000000009</v>
      </c>
    </row>
    <row r="449" spans="1:15" s="109" customFormat="1" ht="15" customHeight="1">
      <c r="A449" s="342"/>
      <c r="B449" s="342"/>
      <c r="C449" s="1033" t="s">
        <v>1671</v>
      </c>
      <c r="D449" s="1033"/>
      <c r="E449" s="1033"/>
      <c r="F449" s="1033"/>
      <c r="G449" s="343" t="s">
        <v>109</v>
      </c>
      <c r="H449" s="412"/>
      <c r="I449" s="413">
        <v>0.14000000000000001</v>
      </c>
      <c r="J449" s="413">
        <v>5.13</v>
      </c>
      <c r="K449" s="413">
        <v>0.45</v>
      </c>
      <c r="L449" s="414"/>
      <c r="M449" s="414"/>
      <c r="N449" s="381"/>
      <c r="O449" s="400">
        <f t="shared" si="19"/>
        <v>0.32319000000000009</v>
      </c>
    </row>
    <row r="450" spans="1:15" s="109" customFormat="1" ht="15" customHeight="1">
      <c r="A450" s="342"/>
      <c r="B450" s="342"/>
      <c r="C450" s="1033" t="s">
        <v>1672</v>
      </c>
      <c r="D450" s="1033"/>
      <c r="E450" s="1033"/>
      <c r="F450" s="1033"/>
      <c r="G450" s="343" t="s">
        <v>109</v>
      </c>
      <c r="H450" s="412"/>
      <c r="I450" s="413">
        <v>0.14000000000000001</v>
      </c>
      <c r="J450" s="413">
        <v>9.5024999999999995</v>
      </c>
      <c r="K450" s="413">
        <v>0.45</v>
      </c>
      <c r="L450" s="414"/>
      <c r="M450" s="414"/>
      <c r="N450" s="381"/>
      <c r="O450" s="400">
        <f t="shared" si="19"/>
        <v>0.59865750000000006</v>
      </c>
    </row>
    <row r="451" spans="1:15" s="109" customFormat="1" ht="15" customHeight="1">
      <c r="A451" s="342"/>
      <c r="B451" s="342"/>
      <c r="C451" s="1033" t="s">
        <v>1673</v>
      </c>
      <c r="D451" s="1033"/>
      <c r="E451" s="1033"/>
      <c r="F451" s="1033"/>
      <c r="G451" s="343" t="s">
        <v>109</v>
      </c>
      <c r="H451" s="412"/>
      <c r="I451" s="413">
        <v>0.14000000000000001</v>
      </c>
      <c r="J451" s="413">
        <v>9.5024999999999995</v>
      </c>
      <c r="K451" s="413">
        <v>0.45</v>
      </c>
      <c r="L451" s="414"/>
      <c r="M451" s="414"/>
      <c r="N451" s="381"/>
      <c r="O451" s="400">
        <f t="shared" si="19"/>
        <v>0.59865750000000006</v>
      </c>
    </row>
    <row r="452" spans="1:15" s="109" customFormat="1" ht="15" customHeight="1">
      <c r="A452" s="376"/>
      <c r="B452" s="376"/>
      <c r="C452" s="1033" t="s">
        <v>1674</v>
      </c>
      <c r="D452" s="1033"/>
      <c r="E452" s="1033"/>
      <c r="F452" s="1033"/>
      <c r="G452" s="343" t="s">
        <v>109</v>
      </c>
      <c r="H452" s="412"/>
      <c r="I452" s="413">
        <v>0.14000000000000001</v>
      </c>
      <c r="J452" s="413">
        <v>4.5075000000000003</v>
      </c>
      <c r="K452" s="413">
        <v>0.45</v>
      </c>
      <c r="L452" s="414"/>
      <c r="M452" s="411"/>
      <c r="N452" s="400"/>
      <c r="O452" s="400">
        <f t="shared" si="19"/>
        <v>0.28397250000000007</v>
      </c>
    </row>
    <row r="453" spans="1:15" s="109" customFormat="1" ht="15" customHeight="1">
      <c r="A453" s="376"/>
      <c r="B453" s="376"/>
      <c r="C453" s="1033" t="s">
        <v>1675</v>
      </c>
      <c r="D453" s="1033"/>
      <c r="E453" s="1033"/>
      <c r="F453" s="1033"/>
      <c r="G453" s="343" t="s">
        <v>109</v>
      </c>
      <c r="H453" s="412"/>
      <c r="I453" s="413">
        <v>0.14000000000000001</v>
      </c>
      <c r="J453" s="413">
        <v>4.5075000000000003</v>
      </c>
      <c r="K453" s="413">
        <v>0.45</v>
      </c>
      <c r="L453" s="414"/>
      <c r="M453" s="411"/>
      <c r="N453" s="400"/>
      <c r="O453" s="400">
        <f t="shared" si="19"/>
        <v>0.28397250000000007</v>
      </c>
    </row>
    <row r="454" spans="1:15" s="109" customFormat="1" ht="15" customHeight="1">
      <c r="A454" s="376"/>
      <c r="B454" s="376"/>
      <c r="C454" s="1033" t="s">
        <v>1676</v>
      </c>
      <c r="D454" s="1033"/>
      <c r="E454" s="1033"/>
      <c r="F454" s="1033"/>
      <c r="G454" s="343" t="s">
        <v>109</v>
      </c>
      <c r="H454" s="412"/>
      <c r="I454" s="413">
        <v>0.14000000000000001</v>
      </c>
      <c r="J454" s="413">
        <v>7.5824999999999996</v>
      </c>
      <c r="K454" s="413">
        <v>0.45</v>
      </c>
      <c r="L454" s="414"/>
      <c r="M454" s="411"/>
      <c r="N454" s="400"/>
      <c r="O454" s="400">
        <f t="shared" si="19"/>
        <v>0.47769750000000011</v>
      </c>
    </row>
    <row r="455" spans="1:15" s="109" customFormat="1" ht="15" customHeight="1">
      <c r="A455" s="376"/>
      <c r="B455" s="376"/>
      <c r="C455" s="1033" t="s">
        <v>1677</v>
      </c>
      <c r="D455" s="1033"/>
      <c r="E455" s="1033"/>
      <c r="F455" s="1033"/>
      <c r="G455" s="343" t="s">
        <v>109</v>
      </c>
      <c r="H455" s="412"/>
      <c r="I455" s="413">
        <v>0.14000000000000001</v>
      </c>
      <c r="J455" s="413">
        <v>17.670000000000002</v>
      </c>
      <c r="K455" s="413">
        <v>0.45</v>
      </c>
      <c r="L455" s="414"/>
      <c r="M455" s="411"/>
      <c r="N455" s="400"/>
      <c r="O455" s="400">
        <f t="shared" si="19"/>
        <v>1.1132100000000003</v>
      </c>
    </row>
    <row r="456" spans="1:15" s="109" customFormat="1" ht="15" customHeight="1">
      <c r="A456" s="342"/>
      <c r="B456" s="342"/>
      <c r="C456" s="1093" t="s">
        <v>1678</v>
      </c>
      <c r="D456" s="1093"/>
      <c r="E456" s="1093"/>
      <c r="F456" s="1093"/>
      <c r="G456" s="343"/>
      <c r="H456" s="412"/>
      <c r="I456" s="413"/>
      <c r="J456" s="413"/>
      <c r="K456" s="413"/>
      <c r="L456" s="414"/>
      <c r="M456" s="414"/>
      <c r="N456" s="381"/>
      <c r="O456" s="400"/>
    </row>
    <row r="457" spans="1:15" s="109" customFormat="1" ht="15" customHeight="1">
      <c r="A457" s="342"/>
      <c r="B457" s="342"/>
      <c r="C457" s="1033" t="s">
        <v>1679</v>
      </c>
      <c r="D457" s="1033"/>
      <c r="E457" s="1033"/>
      <c r="F457" s="1033"/>
      <c r="G457" s="343" t="s">
        <v>109</v>
      </c>
      <c r="H457" s="412"/>
      <c r="I457" s="413">
        <v>0.14000000000000001</v>
      </c>
      <c r="J457" s="413">
        <v>18.149999999999999</v>
      </c>
      <c r="K457" s="413">
        <v>0.45</v>
      </c>
      <c r="L457" s="414"/>
      <c r="M457" s="414"/>
      <c r="N457" s="381"/>
      <c r="O457" s="400">
        <f t="shared" si="19"/>
        <v>1.1434500000000001</v>
      </c>
    </row>
    <row r="458" spans="1:15" s="109" customFormat="1" ht="15" customHeight="1">
      <c r="A458" s="342"/>
      <c r="B458" s="342"/>
      <c r="C458" s="1033" t="s">
        <v>1680</v>
      </c>
      <c r="D458" s="1033"/>
      <c r="E458" s="1033"/>
      <c r="F458" s="1033"/>
      <c r="G458" s="343" t="s">
        <v>109</v>
      </c>
      <c r="H458" s="412"/>
      <c r="I458" s="413">
        <v>0.7</v>
      </c>
      <c r="J458" s="413">
        <v>10.64</v>
      </c>
      <c r="K458" s="413">
        <v>0.5</v>
      </c>
      <c r="L458" s="414"/>
      <c r="M458" s="414"/>
      <c r="N458" s="381"/>
      <c r="O458" s="400">
        <f t="shared" si="19"/>
        <v>3.7239999999999998</v>
      </c>
    </row>
    <row r="459" spans="1:15" s="109" customFormat="1" ht="15" customHeight="1">
      <c r="A459" s="342"/>
      <c r="B459" s="342"/>
      <c r="C459" s="1033" t="s">
        <v>1681</v>
      </c>
      <c r="D459" s="1033"/>
      <c r="E459" s="1033"/>
      <c r="F459" s="1033"/>
      <c r="G459" s="343" t="s">
        <v>109</v>
      </c>
      <c r="H459" s="412"/>
      <c r="I459" s="413">
        <v>0.14000000000000001</v>
      </c>
      <c r="J459" s="413">
        <v>3.14</v>
      </c>
      <c r="K459" s="413">
        <v>0.35</v>
      </c>
      <c r="L459" s="414"/>
      <c r="M459" s="414"/>
      <c r="N459" s="381"/>
      <c r="O459" s="400">
        <f t="shared" si="19"/>
        <v>0.15386000000000002</v>
      </c>
    </row>
    <row r="460" spans="1:15" s="109" customFormat="1" ht="15" customHeight="1">
      <c r="A460" s="342"/>
      <c r="B460" s="342"/>
      <c r="C460" s="1033" t="s">
        <v>1682</v>
      </c>
      <c r="D460" s="1033"/>
      <c r="E460" s="1033"/>
      <c r="F460" s="1033"/>
      <c r="G460" s="343" t="s">
        <v>109</v>
      </c>
      <c r="H460" s="412"/>
      <c r="I460" s="413">
        <v>0.14000000000000001</v>
      </c>
      <c r="J460" s="413">
        <v>12.99</v>
      </c>
      <c r="K460" s="413">
        <v>0.55000000000000004</v>
      </c>
      <c r="L460" s="414"/>
      <c r="M460" s="414"/>
      <c r="N460" s="381"/>
      <c r="O460" s="400">
        <f t="shared" si="19"/>
        <v>1.0002300000000002</v>
      </c>
    </row>
    <row r="461" spans="1:15" s="109" customFormat="1" ht="15" customHeight="1">
      <c r="A461" s="342"/>
      <c r="B461" s="342"/>
      <c r="C461" s="1033" t="s">
        <v>1683</v>
      </c>
      <c r="D461" s="1033"/>
      <c r="E461" s="1033"/>
      <c r="F461" s="1033"/>
      <c r="G461" s="343" t="s">
        <v>109</v>
      </c>
      <c r="H461" s="412"/>
      <c r="I461" s="413">
        <v>0.14000000000000001</v>
      </c>
      <c r="J461" s="413">
        <v>3.14</v>
      </c>
      <c r="K461" s="413">
        <v>0.35</v>
      </c>
      <c r="L461" s="414"/>
      <c r="M461" s="414"/>
      <c r="N461" s="381"/>
      <c r="O461" s="400">
        <f t="shared" si="19"/>
        <v>0.15386000000000002</v>
      </c>
    </row>
    <row r="462" spans="1:15" s="109" customFormat="1" ht="15" customHeight="1">
      <c r="A462" s="342"/>
      <c r="B462" s="342"/>
      <c r="C462" s="1033" t="s">
        <v>1684</v>
      </c>
      <c r="D462" s="1033"/>
      <c r="E462" s="1033"/>
      <c r="F462" s="1033"/>
      <c r="G462" s="343" t="s">
        <v>109</v>
      </c>
      <c r="H462" s="412"/>
      <c r="I462" s="413">
        <v>0.7</v>
      </c>
      <c r="J462" s="413">
        <v>8.86</v>
      </c>
      <c r="K462" s="413">
        <v>0.5</v>
      </c>
      <c r="L462" s="414"/>
      <c r="M462" s="414"/>
      <c r="N462" s="381"/>
      <c r="O462" s="400">
        <f t="shared" si="19"/>
        <v>3.1009999999999995</v>
      </c>
    </row>
    <row r="463" spans="1:15" s="109" customFormat="1" ht="15" customHeight="1">
      <c r="A463" s="342"/>
      <c r="B463" s="342"/>
      <c r="C463" s="1033" t="s">
        <v>1685</v>
      </c>
      <c r="D463" s="1033"/>
      <c r="E463" s="1033"/>
      <c r="F463" s="1033"/>
      <c r="G463" s="343" t="s">
        <v>109</v>
      </c>
      <c r="H463" s="412"/>
      <c r="I463" s="413">
        <v>0.14000000000000001</v>
      </c>
      <c r="J463" s="413">
        <v>3.14</v>
      </c>
      <c r="K463" s="413">
        <v>0.35</v>
      </c>
      <c r="L463" s="414"/>
      <c r="M463" s="414"/>
      <c r="N463" s="381"/>
      <c r="O463" s="400">
        <f t="shared" si="19"/>
        <v>0.15386000000000002</v>
      </c>
    </row>
    <row r="464" spans="1:15" s="109" customFormat="1" ht="15" customHeight="1">
      <c r="A464" s="342"/>
      <c r="B464" s="342"/>
      <c r="C464" s="1033" t="s">
        <v>1686</v>
      </c>
      <c r="D464" s="1033"/>
      <c r="E464" s="1033"/>
      <c r="F464" s="1033"/>
      <c r="G464" s="343" t="s">
        <v>109</v>
      </c>
      <c r="H464" s="412"/>
      <c r="I464" s="413">
        <v>0.14000000000000001</v>
      </c>
      <c r="J464" s="413">
        <v>3.14</v>
      </c>
      <c r="K464" s="413">
        <v>0.35</v>
      </c>
      <c r="L464" s="414"/>
      <c r="M464" s="414"/>
      <c r="N464" s="381"/>
      <c r="O464" s="400">
        <f t="shared" si="19"/>
        <v>0.15386000000000002</v>
      </c>
    </row>
    <row r="465" spans="1:15" s="109" customFormat="1" ht="15" customHeight="1">
      <c r="A465" s="342"/>
      <c r="B465" s="342"/>
      <c r="C465" s="1033" t="s">
        <v>1687</v>
      </c>
      <c r="D465" s="1033"/>
      <c r="E465" s="1033"/>
      <c r="F465" s="1033"/>
      <c r="G465" s="343" t="s">
        <v>109</v>
      </c>
      <c r="H465" s="412"/>
      <c r="I465" s="413">
        <v>0.7</v>
      </c>
      <c r="J465" s="413">
        <v>8.25</v>
      </c>
      <c r="K465" s="413">
        <v>0.5</v>
      </c>
      <c r="L465" s="414"/>
      <c r="M465" s="414"/>
      <c r="N465" s="381"/>
      <c r="O465" s="400">
        <f t="shared" si="19"/>
        <v>2.8874999999999997</v>
      </c>
    </row>
    <row r="466" spans="1:15" s="109" customFormat="1" ht="15" customHeight="1">
      <c r="A466" s="342"/>
      <c r="B466" s="342"/>
      <c r="C466" s="1033" t="s">
        <v>1688</v>
      </c>
      <c r="D466" s="1033"/>
      <c r="E466" s="1033"/>
      <c r="F466" s="1033"/>
      <c r="G466" s="343" t="s">
        <v>109</v>
      </c>
      <c r="H466" s="412"/>
      <c r="I466" s="413">
        <v>0.14000000000000001</v>
      </c>
      <c r="J466" s="413">
        <v>15.14</v>
      </c>
      <c r="K466" s="413">
        <v>0.55000000000000004</v>
      </c>
      <c r="L466" s="414"/>
      <c r="M466" s="414"/>
      <c r="N466" s="381"/>
      <c r="O466" s="400">
        <f t="shared" si="19"/>
        <v>1.1657800000000003</v>
      </c>
    </row>
    <row r="467" spans="1:15" s="109" customFormat="1" ht="15" customHeight="1">
      <c r="A467" s="342"/>
      <c r="B467" s="342"/>
      <c r="C467" s="1033" t="s">
        <v>1689</v>
      </c>
      <c r="D467" s="1033"/>
      <c r="E467" s="1033"/>
      <c r="F467" s="1033"/>
      <c r="G467" s="343" t="s">
        <v>109</v>
      </c>
      <c r="H467" s="412"/>
      <c r="I467" s="413">
        <v>0.14000000000000001</v>
      </c>
      <c r="J467" s="413">
        <v>6.19</v>
      </c>
      <c r="K467" s="413">
        <v>0.35</v>
      </c>
      <c r="L467" s="414"/>
      <c r="M467" s="414"/>
      <c r="N467" s="381"/>
      <c r="O467" s="400">
        <f t="shared" si="19"/>
        <v>0.30331000000000002</v>
      </c>
    </row>
    <row r="468" spans="1:15" s="109" customFormat="1" ht="15" customHeight="1">
      <c r="A468" s="342"/>
      <c r="B468" s="342"/>
      <c r="C468" s="1033" t="s">
        <v>1690</v>
      </c>
      <c r="D468" s="1033"/>
      <c r="E468" s="1033"/>
      <c r="F468" s="1033"/>
      <c r="G468" s="343" t="s">
        <v>109</v>
      </c>
      <c r="H468" s="412"/>
      <c r="I468" s="413">
        <v>0.14000000000000001</v>
      </c>
      <c r="J468" s="413">
        <v>6.04</v>
      </c>
      <c r="K468" s="413">
        <v>0.35</v>
      </c>
      <c r="L468" s="414"/>
      <c r="M468" s="414"/>
      <c r="N468" s="381"/>
      <c r="O468" s="400">
        <f t="shared" si="19"/>
        <v>0.29596</v>
      </c>
    </row>
    <row r="469" spans="1:15" s="109" customFormat="1" ht="15" customHeight="1">
      <c r="A469" s="342"/>
      <c r="B469" s="342"/>
      <c r="C469" s="1033" t="s">
        <v>1691</v>
      </c>
      <c r="D469" s="1033"/>
      <c r="E469" s="1033"/>
      <c r="F469" s="1033"/>
      <c r="G469" s="343" t="s">
        <v>109</v>
      </c>
      <c r="H469" s="412"/>
      <c r="I469" s="413">
        <v>0.12</v>
      </c>
      <c r="J469" s="413">
        <v>18.86</v>
      </c>
      <c r="K469" s="413">
        <v>0.6</v>
      </c>
      <c r="L469" s="414"/>
      <c r="M469" s="414"/>
      <c r="N469" s="381"/>
      <c r="O469" s="400">
        <f t="shared" si="19"/>
        <v>1.3579199999999998</v>
      </c>
    </row>
    <row r="470" spans="1:15" s="109" customFormat="1" ht="15" customHeight="1">
      <c r="A470" s="342"/>
      <c r="B470" s="342"/>
      <c r="C470" s="1033" t="s">
        <v>1692</v>
      </c>
      <c r="D470" s="1033"/>
      <c r="E470" s="1033"/>
      <c r="F470" s="1033"/>
      <c r="G470" s="343" t="s">
        <v>109</v>
      </c>
      <c r="H470" s="412"/>
      <c r="I470" s="413">
        <v>0.19</v>
      </c>
      <c r="J470" s="413">
        <v>3.76</v>
      </c>
      <c r="K470" s="413">
        <v>0.6</v>
      </c>
      <c r="L470" s="414"/>
      <c r="M470" s="414"/>
      <c r="N470" s="381"/>
      <c r="O470" s="400">
        <f t="shared" si="19"/>
        <v>0.42863999999999997</v>
      </c>
    </row>
    <row r="471" spans="1:15" s="109" customFormat="1" ht="15" customHeight="1">
      <c r="A471" s="342"/>
      <c r="B471" s="342"/>
      <c r="C471" s="1033" t="s">
        <v>1693</v>
      </c>
      <c r="D471" s="1033"/>
      <c r="E471" s="1033"/>
      <c r="F471" s="1033"/>
      <c r="G471" s="343" t="s">
        <v>109</v>
      </c>
      <c r="H471" s="412"/>
      <c r="I471" s="413">
        <v>0.7</v>
      </c>
      <c r="J471" s="413">
        <v>16.43</v>
      </c>
      <c r="K471" s="413">
        <v>0.5</v>
      </c>
      <c r="L471" s="414"/>
      <c r="M471" s="414"/>
      <c r="N471" s="381"/>
      <c r="O471" s="400">
        <f t="shared" si="19"/>
        <v>5.7504999999999997</v>
      </c>
    </row>
    <row r="472" spans="1:15" s="109" customFormat="1" ht="15" customHeight="1">
      <c r="A472" s="342"/>
      <c r="B472" s="342"/>
      <c r="C472" s="1033" t="s">
        <v>1694</v>
      </c>
      <c r="D472" s="1033"/>
      <c r="E472" s="1033"/>
      <c r="F472" s="1033"/>
      <c r="G472" s="343" t="s">
        <v>109</v>
      </c>
      <c r="H472" s="412"/>
      <c r="I472" s="413">
        <v>0.19</v>
      </c>
      <c r="J472" s="413">
        <v>3.76</v>
      </c>
      <c r="K472" s="413">
        <v>0.6</v>
      </c>
      <c r="L472" s="414"/>
      <c r="M472" s="414"/>
      <c r="N472" s="381"/>
      <c r="O472" s="400">
        <f t="shared" si="19"/>
        <v>0.42863999999999997</v>
      </c>
    </row>
    <row r="473" spans="1:15" s="109" customFormat="1" ht="15" customHeight="1">
      <c r="A473" s="342"/>
      <c r="B473" s="342"/>
      <c r="C473" s="1033" t="s">
        <v>1695</v>
      </c>
      <c r="D473" s="1033"/>
      <c r="E473" s="1033"/>
      <c r="F473" s="1033"/>
      <c r="G473" s="343" t="s">
        <v>109</v>
      </c>
      <c r="H473" s="412"/>
      <c r="I473" s="413">
        <v>0.14000000000000001</v>
      </c>
      <c r="J473" s="413">
        <v>12.3</v>
      </c>
      <c r="K473" s="413">
        <v>0.7</v>
      </c>
      <c r="L473" s="414"/>
      <c r="M473" s="414"/>
      <c r="N473" s="381"/>
      <c r="O473" s="400">
        <f t="shared" si="19"/>
        <v>1.2054</v>
      </c>
    </row>
    <row r="474" spans="1:15" s="109" customFormat="1" ht="15" customHeight="1">
      <c r="A474" s="342"/>
      <c r="B474" s="342"/>
      <c r="C474" s="1033" t="s">
        <v>1696</v>
      </c>
      <c r="D474" s="1033"/>
      <c r="E474" s="1033"/>
      <c r="F474" s="1033"/>
      <c r="G474" s="343" t="s">
        <v>109</v>
      </c>
      <c r="H474" s="412"/>
      <c r="I474" s="413">
        <v>0.14000000000000001</v>
      </c>
      <c r="J474" s="413">
        <v>2.54</v>
      </c>
      <c r="K474" s="413">
        <v>0.35</v>
      </c>
      <c r="L474" s="414"/>
      <c r="M474" s="414"/>
      <c r="N474" s="381"/>
      <c r="O474" s="400">
        <f t="shared" si="19"/>
        <v>0.12446</v>
      </c>
    </row>
    <row r="475" spans="1:15" s="109" customFormat="1" ht="15" customHeight="1">
      <c r="A475" s="342"/>
      <c r="B475" s="342"/>
      <c r="C475" s="1033" t="s">
        <v>1697</v>
      </c>
      <c r="D475" s="1033"/>
      <c r="E475" s="1033"/>
      <c r="F475" s="1033"/>
      <c r="G475" s="343" t="s">
        <v>109</v>
      </c>
      <c r="H475" s="412"/>
      <c r="I475" s="413">
        <v>0.14000000000000001</v>
      </c>
      <c r="J475" s="413">
        <v>2.34</v>
      </c>
      <c r="K475" s="413">
        <v>0.35</v>
      </c>
      <c r="L475" s="414"/>
      <c r="M475" s="414"/>
      <c r="N475" s="381"/>
      <c r="O475" s="400">
        <f t="shared" si="19"/>
        <v>0.11466</v>
      </c>
    </row>
    <row r="476" spans="1:15" s="109" customFormat="1" ht="15" customHeight="1">
      <c r="A476" s="342"/>
      <c r="B476" s="342"/>
      <c r="C476" s="1033" t="s">
        <v>1698</v>
      </c>
      <c r="D476" s="1033"/>
      <c r="E476" s="1033"/>
      <c r="F476" s="1033"/>
      <c r="G476" s="343" t="s">
        <v>109</v>
      </c>
      <c r="H476" s="412"/>
      <c r="I476" s="413">
        <v>0.14000000000000001</v>
      </c>
      <c r="J476" s="413">
        <v>6.4</v>
      </c>
      <c r="K476" s="413">
        <v>0.55000000000000004</v>
      </c>
      <c r="L476" s="414"/>
      <c r="M476" s="414"/>
      <c r="N476" s="381"/>
      <c r="O476" s="400">
        <f t="shared" si="19"/>
        <v>0.49280000000000013</v>
      </c>
    </row>
    <row r="477" spans="1:15" s="109" customFormat="1" ht="15" customHeight="1">
      <c r="A477" s="376"/>
      <c r="B477" s="376"/>
      <c r="C477" s="1033" t="s">
        <v>1699</v>
      </c>
      <c r="D477" s="1033"/>
      <c r="E477" s="1033"/>
      <c r="F477" s="1033"/>
      <c r="G477" s="343" t="s">
        <v>109</v>
      </c>
      <c r="H477" s="412"/>
      <c r="I477" s="415">
        <v>0.14000000000000001</v>
      </c>
      <c r="J477" s="415">
        <v>2.96</v>
      </c>
      <c r="K477" s="415">
        <v>0.35</v>
      </c>
      <c r="L477" s="400"/>
      <c r="M477" s="411"/>
      <c r="N477" s="400"/>
      <c r="O477" s="400">
        <f t="shared" si="19"/>
        <v>0.14504</v>
      </c>
    </row>
    <row r="478" spans="1:15" s="109" customFormat="1" ht="15" customHeight="1">
      <c r="A478" s="376"/>
      <c r="B478" s="376"/>
      <c r="C478" s="1033" t="s">
        <v>1700</v>
      </c>
      <c r="D478" s="1033"/>
      <c r="E478" s="1033"/>
      <c r="F478" s="1033"/>
      <c r="G478" s="343" t="s">
        <v>109</v>
      </c>
      <c r="H478" s="412"/>
      <c r="I478" s="415">
        <v>0.14000000000000001</v>
      </c>
      <c r="J478" s="413">
        <v>2.34</v>
      </c>
      <c r="K478" s="413">
        <v>0.35</v>
      </c>
      <c r="L478" s="400"/>
      <c r="M478" s="411"/>
      <c r="N478" s="400"/>
      <c r="O478" s="400">
        <f t="shared" si="19"/>
        <v>0.11466</v>
      </c>
    </row>
    <row r="479" spans="1:15" s="109" customFormat="1" ht="15" customHeight="1">
      <c r="A479" s="376"/>
      <c r="B479" s="376"/>
      <c r="C479" s="1033" t="s">
        <v>1701</v>
      </c>
      <c r="D479" s="1033"/>
      <c r="E479" s="1033"/>
      <c r="F479" s="1033"/>
      <c r="G479" s="343" t="s">
        <v>109</v>
      </c>
      <c r="H479" s="412"/>
      <c r="I479" s="415">
        <v>0.14000000000000001</v>
      </c>
      <c r="J479" s="413">
        <v>2.34</v>
      </c>
      <c r="K479" s="413">
        <v>0.35</v>
      </c>
      <c r="L479" s="400"/>
      <c r="M479" s="411"/>
      <c r="N479" s="400"/>
      <c r="O479" s="400">
        <f t="shared" ref="O479:O499" si="20">I479*K479*J479</f>
        <v>0.11466</v>
      </c>
    </row>
    <row r="480" spans="1:15" s="109" customFormat="1" ht="15" customHeight="1">
      <c r="A480" s="376"/>
      <c r="B480" s="376"/>
      <c r="C480" s="1033" t="s">
        <v>1702</v>
      </c>
      <c r="D480" s="1033"/>
      <c r="E480" s="1033"/>
      <c r="F480" s="1033"/>
      <c r="G480" s="343" t="s">
        <v>109</v>
      </c>
      <c r="H480" s="412"/>
      <c r="I480" s="415">
        <v>0.14000000000000001</v>
      </c>
      <c r="J480" s="413">
        <v>6.96</v>
      </c>
      <c r="K480" s="413">
        <v>0.55000000000000004</v>
      </c>
      <c r="L480" s="400"/>
      <c r="M480" s="411"/>
      <c r="N480" s="400"/>
      <c r="O480" s="400">
        <f t="shared" si="20"/>
        <v>0.53592000000000006</v>
      </c>
    </row>
    <row r="481" spans="1:15" s="109" customFormat="1" ht="15" customHeight="1">
      <c r="A481" s="376"/>
      <c r="B481" s="376"/>
      <c r="C481" s="1033" t="s">
        <v>1703</v>
      </c>
      <c r="D481" s="1033"/>
      <c r="E481" s="1033"/>
      <c r="F481" s="1033"/>
      <c r="G481" s="343" t="s">
        <v>109</v>
      </c>
      <c r="H481" s="412"/>
      <c r="I481" s="415">
        <v>0.14000000000000001</v>
      </c>
      <c r="J481" s="415">
        <v>2.97</v>
      </c>
      <c r="K481" s="415">
        <v>0.35</v>
      </c>
      <c r="L481" s="400"/>
      <c r="M481" s="411"/>
      <c r="N481" s="400"/>
      <c r="O481" s="400">
        <f t="shared" si="20"/>
        <v>0.14553000000000002</v>
      </c>
    </row>
    <row r="482" spans="1:15" s="109" customFormat="1" ht="15" customHeight="1">
      <c r="A482" s="376"/>
      <c r="B482" s="376"/>
      <c r="C482" s="1033" t="s">
        <v>1704</v>
      </c>
      <c r="D482" s="1033"/>
      <c r="E482" s="1033"/>
      <c r="F482" s="1033"/>
      <c r="G482" s="343" t="s">
        <v>109</v>
      </c>
      <c r="H482" s="412"/>
      <c r="I482" s="415">
        <v>0.14000000000000001</v>
      </c>
      <c r="J482" s="413">
        <v>2.34</v>
      </c>
      <c r="K482" s="413">
        <v>0.35</v>
      </c>
      <c r="L482" s="400"/>
      <c r="M482" s="411"/>
      <c r="N482" s="400"/>
      <c r="O482" s="400">
        <f t="shared" si="20"/>
        <v>0.11466</v>
      </c>
    </row>
    <row r="483" spans="1:15" s="109" customFormat="1" ht="15" customHeight="1">
      <c r="A483" s="376"/>
      <c r="B483" s="376"/>
      <c r="C483" s="1033" t="s">
        <v>1705</v>
      </c>
      <c r="D483" s="1033"/>
      <c r="E483" s="1033"/>
      <c r="F483" s="1033"/>
      <c r="G483" s="343" t="s">
        <v>109</v>
      </c>
      <c r="H483" s="412"/>
      <c r="I483" s="415">
        <v>0.14000000000000001</v>
      </c>
      <c r="J483" s="413">
        <v>6.96</v>
      </c>
      <c r="K483" s="413">
        <v>0.55000000000000004</v>
      </c>
      <c r="L483" s="400"/>
      <c r="M483" s="411"/>
      <c r="N483" s="400"/>
      <c r="O483" s="400">
        <f t="shared" si="20"/>
        <v>0.53592000000000006</v>
      </c>
    </row>
    <row r="484" spans="1:15" s="109" customFormat="1" ht="15" customHeight="1">
      <c r="A484" s="376"/>
      <c r="B484" s="376"/>
      <c r="C484" s="1033" t="s">
        <v>1706</v>
      </c>
      <c r="D484" s="1033"/>
      <c r="E484" s="1033"/>
      <c r="F484" s="1033"/>
      <c r="G484" s="343" t="s">
        <v>109</v>
      </c>
      <c r="H484" s="412"/>
      <c r="I484" s="415">
        <v>0.14000000000000001</v>
      </c>
      <c r="J484" s="415">
        <v>2.97</v>
      </c>
      <c r="K484" s="415">
        <v>0.35</v>
      </c>
      <c r="L484" s="400"/>
      <c r="M484" s="411"/>
      <c r="N484" s="400"/>
      <c r="O484" s="400">
        <f t="shared" si="20"/>
        <v>0.14553000000000002</v>
      </c>
    </row>
    <row r="485" spans="1:15" s="109" customFormat="1" ht="15" customHeight="1">
      <c r="A485" s="376"/>
      <c r="B485" s="376"/>
      <c r="C485" s="1033" t="s">
        <v>1707</v>
      </c>
      <c r="D485" s="1033"/>
      <c r="E485" s="1033"/>
      <c r="F485" s="1033"/>
      <c r="G485" s="343" t="s">
        <v>109</v>
      </c>
      <c r="H485" s="412"/>
      <c r="I485" s="415">
        <v>0.14000000000000001</v>
      </c>
      <c r="J485" s="413">
        <v>6.96</v>
      </c>
      <c r="K485" s="413">
        <v>0.55000000000000004</v>
      </c>
      <c r="L485" s="400"/>
      <c r="M485" s="411"/>
      <c r="N485" s="400"/>
      <c r="O485" s="400">
        <f t="shared" si="20"/>
        <v>0.53592000000000006</v>
      </c>
    </row>
    <row r="486" spans="1:15" s="109" customFormat="1" ht="15" customHeight="1">
      <c r="A486" s="376"/>
      <c r="B486" s="376"/>
      <c r="C486" s="1033" t="s">
        <v>1708</v>
      </c>
      <c r="D486" s="1033"/>
      <c r="E486" s="1033"/>
      <c r="F486" s="1033"/>
      <c r="G486" s="343" t="s">
        <v>109</v>
      </c>
      <c r="H486" s="412"/>
      <c r="I486" s="415">
        <v>0.14000000000000001</v>
      </c>
      <c r="J486" s="415">
        <v>2.97</v>
      </c>
      <c r="K486" s="415">
        <v>0.35</v>
      </c>
      <c r="L486" s="400"/>
      <c r="M486" s="411"/>
      <c r="N486" s="400"/>
      <c r="O486" s="400">
        <f t="shared" si="20"/>
        <v>0.14553000000000002</v>
      </c>
    </row>
    <row r="487" spans="1:15" s="109" customFormat="1" ht="15" customHeight="1">
      <c r="A487" s="376"/>
      <c r="B487" s="376"/>
      <c r="C487" s="1033" t="s">
        <v>1709</v>
      </c>
      <c r="D487" s="1033"/>
      <c r="E487" s="1033"/>
      <c r="F487" s="1033"/>
      <c r="G487" s="343" t="s">
        <v>109</v>
      </c>
      <c r="H487" s="412"/>
      <c r="I487" s="415">
        <v>0.14000000000000001</v>
      </c>
      <c r="J487" s="413">
        <v>6.96</v>
      </c>
      <c r="K487" s="413">
        <v>0.55000000000000004</v>
      </c>
      <c r="L487" s="400"/>
      <c r="M487" s="411"/>
      <c r="N487" s="400"/>
      <c r="O487" s="400">
        <f t="shared" si="20"/>
        <v>0.53592000000000006</v>
      </c>
    </row>
    <row r="488" spans="1:15" s="109" customFormat="1" ht="15" customHeight="1">
      <c r="A488" s="376"/>
      <c r="B488" s="376"/>
      <c r="C488" s="1033" t="s">
        <v>1710</v>
      </c>
      <c r="D488" s="1033"/>
      <c r="E488" s="1033"/>
      <c r="F488" s="1033"/>
      <c r="G488" s="343" t="s">
        <v>109</v>
      </c>
      <c r="H488" s="412"/>
      <c r="I488" s="415">
        <v>0.14000000000000001</v>
      </c>
      <c r="J488" s="413">
        <v>2.33</v>
      </c>
      <c r="K488" s="413">
        <v>0.35</v>
      </c>
      <c r="L488" s="400"/>
      <c r="M488" s="411"/>
      <c r="N488" s="400"/>
      <c r="O488" s="400">
        <f t="shared" si="20"/>
        <v>0.11417000000000001</v>
      </c>
    </row>
    <row r="489" spans="1:15" s="109" customFormat="1" ht="15" customHeight="1">
      <c r="A489" s="376"/>
      <c r="B489" s="376"/>
      <c r="C489" s="1033" t="s">
        <v>1711</v>
      </c>
      <c r="D489" s="1033"/>
      <c r="E489" s="1033"/>
      <c r="F489" s="1033"/>
      <c r="G489" s="343" t="s">
        <v>109</v>
      </c>
      <c r="H489" s="412"/>
      <c r="I489" s="415">
        <v>0.14000000000000001</v>
      </c>
      <c r="J489" s="413">
        <v>2.33</v>
      </c>
      <c r="K489" s="413">
        <v>0.35</v>
      </c>
      <c r="L489" s="400"/>
      <c r="M489" s="411"/>
      <c r="N489" s="400"/>
      <c r="O489" s="400">
        <f t="shared" si="20"/>
        <v>0.11417000000000001</v>
      </c>
    </row>
    <row r="490" spans="1:15" s="109" customFormat="1" ht="15" customHeight="1">
      <c r="A490" s="376"/>
      <c r="B490" s="376"/>
      <c r="C490" s="1033" t="s">
        <v>1712</v>
      </c>
      <c r="D490" s="1033"/>
      <c r="E490" s="1033"/>
      <c r="F490" s="1033"/>
      <c r="G490" s="343" t="s">
        <v>109</v>
      </c>
      <c r="H490" s="412"/>
      <c r="I490" s="415">
        <v>0.14000000000000001</v>
      </c>
      <c r="J490" s="413">
        <v>2.33</v>
      </c>
      <c r="K490" s="413">
        <v>0.35</v>
      </c>
      <c r="L490" s="400"/>
      <c r="M490" s="411"/>
      <c r="N490" s="400"/>
      <c r="O490" s="400">
        <f t="shared" si="20"/>
        <v>0.11417000000000001</v>
      </c>
    </row>
    <row r="491" spans="1:15" s="109" customFormat="1" ht="15" customHeight="1">
      <c r="A491" s="376"/>
      <c r="B491" s="376"/>
      <c r="C491" s="1093" t="s">
        <v>1713</v>
      </c>
      <c r="D491" s="1093"/>
      <c r="E491" s="1093"/>
      <c r="F491" s="1093"/>
      <c r="G491" s="404"/>
      <c r="H491" s="406"/>
      <c r="I491" s="407"/>
      <c r="J491" s="406"/>
      <c r="K491" s="408"/>
      <c r="L491" s="406"/>
      <c r="M491" s="411"/>
      <c r="N491" s="400"/>
      <c r="O491" s="400"/>
    </row>
    <row r="492" spans="1:15" s="109" customFormat="1" ht="15" customHeight="1">
      <c r="A492" s="376"/>
      <c r="B492" s="376"/>
      <c r="C492" s="1033" t="s">
        <v>1714</v>
      </c>
      <c r="D492" s="1033"/>
      <c r="E492" s="1033"/>
      <c r="F492" s="1033"/>
      <c r="G492" s="343" t="s">
        <v>61</v>
      </c>
      <c r="H492" s="410"/>
      <c r="I492" s="410">
        <v>3.14</v>
      </c>
      <c r="J492" s="410">
        <v>2.5299999999999998</v>
      </c>
      <c r="K492" s="410">
        <v>0.1</v>
      </c>
      <c r="L492" s="400"/>
      <c r="M492" s="411"/>
      <c r="N492" s="400"/>
      <c r="O492" s="400">
        <f t="shared" si="20"/>
        <v>0.79442000000000013</v>
      </c>
    </row>
    <row r="493" spans="1:15" s="109" customFormat="1" ht="15" customHeight="1">
      <c r="A493" s="376"/>
      <c r="B493" s="376"/>
      <c r="C493" s="1033" t="s">
        <v>1715</v>
      </c>
      <c r="D493" s="1033"/>
      <c r="E493" s="1033"/>
      <c r="F493" s="1033"/>
      <c r="G493" s="343" t="s">
        <v>61</v>
      </c>
      <c r="H493" s="410"/>
      <c r="I493" s="410">
        <v>3.14</v>
      </c>
      <c r="J493" s="410">
        <v>2.5299999999999998</v>
      </c>
      <c r="K493" s="410">
        <v>0.1</v>
      </c>
      <c r="L493" s="400"/>
      <c r="M493" s="411"/>
      <c r="N493" s="400"/>
      <c r="O493" s="400">
        <f t="shared" si="20"/>
        <v>0.79442000000000013</v>
      </c>
    </row>
    <row r="494" spans="1:15" s="109" customFormat="1" ht="15" customHeight="1">
      <c r="A494" s="376"/>
      <c r="B494" s="376"/>
      <c r="C494" s="1033" t="s">
        <v>1716</v>
      </c>
      <c r="D494" s="1033"/>
      <c r="E494" s="1033"/>
      <c r="F494" s="1033"/>
      <c r="G494" s="343" t="s">
        <v>61</v>
      </c>
      <c r="H494" s="410"/>
      <c r="I494" s="410">
        <v>3.14</v>
      </c>
      <c r="J494" s="410">
        <v>2.5299999999999998</v>
      </c>
      <c r="K494" s="410">
        <v>0.1</v>
      </c>
      <c r="L494" s="400"/>
      <c r="M494" s="411"/>
      <c r="N494" s="400"/>
      <c r="O494" s="400">
        <f t="shared" si="20"/>
        <v>0.79442000000000013</v>
      </c>
    </row>
    <row r="495" spans="1:15" s="109" customFormat="1" ht="15" customHeight="1">
      <c r="A495" s="376"/>
      <c r="B495" s="376"/>
      <c r="C495" s="1033" t="s">
        <v>1717</v>
      </c>
      <c r="D495" s="1033"/>
      <c r="E495" s="1033"/>
      <c r="F495" s="1033"/>
      <c r="G495" s="343" t="s">
        <v>61</v>
      </c>
      <c r="H495" s="410"/>
      <c r="I495" s="410">
        <v>3.14</v>
      </c>
      <c r="J495" s="410">
        <v>2.5299999999999998</v>
      </c>
      <c r="K495" s="410">
        <v>0.1</v>
      </c>
      <c r="L495" s="400"/>
      <c r="M495" s="411"/>
      <c r="N495" s="400"/>
      <c r="O495" s="400">
        <f t="shared" si="20"/>
        <v>0.79442000000000013</v>
      </c>
    </row>
    <row r="496" spans="1:15" s="109" customFormat="1" ht="15" customHeight="1">
      <c r="A496" s="376"/>
      <c r="B496" s="376"/>
      <c r="C496" s="1033" t="s">
        <v>1718</v>
      </c>
      <c r="D496" s="1033"/>
      <c r="E496" s="1033"/>
      <c r="F496" s="1033"/>
      <c r="G496" s="343" t="s">
        <v>61</v>
      </c>
      <c r="H496" s="410"/>
      <c r="I496" s="410">
        <v>3.04</v>
      </c>
      <c r="J496" s="410">
        <v>2.33</v>
      </c>
      <c r="K496" s="410">
        <v>0.1</v>
      </c>
      <c r="L496" s="400"/>
      <c r="M496" s="411"/>
      <c r="N496" s="400"/>
      <c r="O496" s="400">
        <f t="shared" si="20"/>
        <v>0.70832000000000017</v>
      </c>
    </row>
    <row r="497" spans="1:15" s="109" customFormat="1" ht="15" customHeight="1">
      <c r="A497" s="376"/>
      <c r="B497" s="376"/>
      <c r="C497" s="1033" t="s">
        <v>1719</v>
      </c>
      <c r="D497" s="1033"/>
      <c r="E497" s="1033"/>
      <c r="F497" s="1033"/>
      <c r="G497" s="343" t="s">
        <v>61</v>
      </c>
      <c r="H497" s="410"/>
      <c r="I497" s="410">
        <v>3.04</v>
      </c>
      <c r="J497" s="410">
        <v>2.33</v>
      </c>
      <c r="K497" s="410">
        <v>0.1</v>
      </c>
      <c r="L497" s="400"/>
      <c r="M497" s="411"/>
      <c r="N497" s="400"/>
      <c r="O497" s="400">
        <f t="shared" si="20"/>
        <v>0.70832000000000017</v>
      </c>
    </row>
    <row r="498" spans="1:15" s="109" customFormat="1" ht="15" customHeight="1">
      <c r="A498" s="376"/>
      <c r="B498" s="376"/>
      <c r="C498" s="1033" t="s">
        <v>1720</v>
      </c>
      <c r="D498" s="1033"/>
      <c r="E498" s="1033"/>
      <c r="F498" s="1033"/>
      <c r="G498" s="343" t="s">
        <v>61</v>
      </c>
      <c r="H498" s="412"/>
      <c r="I498" s="410">
        <v>3.14</v>
      </c>
      <c r="J498" s="410">
        <v>2.5299999999999998</v>
      </c>
      <c r="K498" s="410">
        <v>0.1</v>
      </c>
      <c r="L498" s="400"/>
      <c r="M498" s="411"/>
      <c r="N498" s="400"/>
      <c r="O498" s="400">
        <f t="shared" si="20"/>
        <v>0.79442000000000013</v>
      </c>
    </row>
    <row r="499" spans="1:15" s="109" customFormat="1" ht="15" customHeight="1">
      <c r="A499" s="376"/>
      <c r="B499" s="376"/>
      <c r="C499" s="1033" t="s">
        <v>1721</v>
      </c>
      <c r="D499" s="1033"/>
      <c r="E499" s="1033"/>
      <c r="F499" s="1033"/>
      <c r="G499" s="343" t="s">
        <v>61</v>
      </c>
      <c r="H499" s="412"/>
      <c r="I499" s="410">
        <v>3.14</v>
      </c>
      <c r="J499" s="410">
        <v>2.5299999999999998</v>
      </c>
      <c r="K499" s="410">
        <v>0.1</v>
      </c>
      <c r="L499" s="400"/>
      <c r="M499" s="411"/>
      <c r="N499" s="400"/>
      <c r="O499" s="400">
        <f t="shared" si="20"/>
        <v>0.79442000000000013</v>
      </c>
    </row>
    <row r="500" spans="1:15" s="109" customFormat="1" ht="15" customHeight="1">
      <c r="A500" s="376"/>
      <c r="B500" s="376"/>
      <c r="C500" s="1028" t="s">
        <v>1558</v>
      </c>
      <c r="D500" s="1028"/>
      <c r="E500" s="1028"/>
      <c r="F500" s="1028"/>
      <c r="G500" s="442"/>
      <c r="H500" s="609"/>
      <c r="I500" s="609"/>
      <c r="J500" s="609"/>
      <c r="K500" s="610"/>
      <c r="L500" s="610"/>
      <c r="M500" s="610"/>
      <c r="N500" s="680"/>
      <c r="O500" s="680"/>
    </row>
    <row r="501" spans="1:15" s="109" customFormat="1" ht="15" customHeight="1">
      <c r="A501" s="376"/>
      <c r="B501" s="376"/>
      <c r="C501" s="1009" t="s">
        <v>1722</v>
      </c>
      <c r="D501" s="1009"/>
      <c r="E501" s="1009"/>
      <c r="F501" s="1009"/>
      <c r="G501" s="464" t="s">
        <v>61</v>
      </c>
      <c r="H501" s="609">
        <v>2</v>
      </c>
      <c r="I501" s="609">
        <v>2.5</v>
      </c>
      <c r="J501" s="609">
        <v>6</v>
      </c>
      <c r="K501" s="610">
        <f>0.5+1.7+0.15</f>
        <v>2.35</v>
      </c>
      <c r="L501" s="610"/>
      <c r="M501" s="610">
        <v>0.13</v>
      </c>
      <c r="N501" s="680"/>
      <c r="O501" s="680">
        <f>(((I501+J501)*2)*M501)*K501*H501</f>
        <v>10.387</v>
      </c>
    </row>
    <row r="502" spans="1:15" s="109" customFormat="1" ht="15" customHeight="1">
      <c r="A502" s="376"/>
      <c r="B502" s="376"/>
      <c r="C502" s="1009" t="s">
        <v>1723</v>
      </c>
      <c r="D502" s="1009"/>
      <c r="E502" s="1009"/>
      <c r="F502" s="1009"/>
      <c r="G502" s="464" t="s">
        <v>61</v>
      </c>
      <c r="H502" s="609">
        <v>2</v>
      </c>
      <c r="I502" s="609">
        <v>2.5</v>
      </c>
      <c r="J502" s="609">
        <v>6</v>
      </c>
      <c r="K502" s="610">
        <f>0.5+1.7+0.15</f>
        <v>2.35</v>
      </c>
      <c r="L502" s="610"/>
      <c r="M502" s="610">
        <v>0.13</v>
      </c>
      <c r="N502" s="680"/>
      <c r="O502" s="680">
        <f>I502*J502*M502*H502</f>
        <v>3.9000000000000004</v>
      </c>
    </row>
    <row r="503" spans="1:15" s="109" customFormat="1" ht="15" customHeight="1">
      <c r="A503" s="376"/>
      <c r="B503" s="376"/>
      <c r="C503" s="1009" t="s">
        <v>1724</v>
      </c>
      <c r="D503" s="1009"/>
      <c r="E503" s="1009"/>
      <c r="F503" s="1009"/>
      <c r="G503" s="464" t="s">
        <v>61</v>
      </c>
      <c r="H503" s="609">
        <v>2</v>
      </c>
      <c r="I503" s="609">
        <v>1.5</v>
      </c>
      <c r="J503" s="609">
        <v>1.8</v>
      </c>
      <c r="K503" s="610">
        <v>0.6</v>
      </c>
      <c r="L503" s="610"/>
      <c r="M503" s="610">
        <v>0.13</v>
      </c>
      <c r="N503" s="680"/>
      <c r="O503" s="680">
        <f>(((I503+J503)*2)*M503)*K503*H503</f>
        <v>1.0295999999999998</v>
      </c>
    </row>
    <row r="504" spans="1:15" s="109" customFormat="1" ht="15" customHeight="1">
      <c r="A504" s="376"/>
      <c r="B504" s="376"/>
      <c r="C504" s="1009" t="s">
        <v>1725</v>
      </c>
      <c r="D504" s="1009"/>
      <c r="E504" s="1009"/>
      <c r="F504" s="1009"/>
      <c r="G504" s="464" t="s">
        <v>61</v>
      </c>
      <c r="H504" s="609">
        <v>2</v>
      </c>
      <c r="I504" s="609">
        <v>1.5</v>
      </c>
      <c r="J504" s="609">
        <v>1.8</v>
      </c>
      <c r="K504" s="610">
        <v>0.6</v>
      </c>
      <c r="L504" s="610"/>
      <c r="M504" s="610">
        <v>0.13</v>
      </c>
      <c r="N504" s="680"/>
      <c r="O504" s="680">
        <f>I504*J504*M504*H504</f>
        <v>0.70200000000000007</v>
      </c>
    </row>
    <row r="505" spans="1:15" s="109" customFormat="1" ht="15" customHeight="1">
      <c r="A505" s="376"/>
      <c r="B505" s="376"/>
      <c r="C505" s="1028" t="s">
        <v>1561</v>
      </c>
      <c r="D505" s="1028"/>
      <c r="E505" s="1028"/>
      <c r="F505" s="1028"/>
      <c r="G505" s="442"/>
      <c r="H505" s="609"/>
      <c r="I505" s="609"/>
      <c r="J505" s="609"/>
      <c r="K505" s="610"/>
      <c r="L505" s="610"/>
      <c r="M505" s="610"/>
      <c r="N505" s="680"/>
      <c r="O505" s="680"/>
    </row>
    <row r="506" spans="1:15" s="109" customFormat="1" ht="15" customHeight="1">
      <c r="A506" s="376"/>
      <c r="B506" s="376"/>
      <c r="C506" s="1009" t="s">
        <v>1726</v>
      </c>
      <c r="D506" s="1009"/>
      <c r="E506" s="1009"/>
      <c r="F506" s="1009"/>
      <c r="G506" s="464" t="s">
        <v>61</v>
      </c>
      <c r="H506" s="609">
        <v>4</v>
      </c>
      <c r="I506" s="609"/>
      <c r="J506" s="609"/>
      <c r="K506" s="610">
        <v>18</v>
      </c>
      <c r="L506" s="610"/>
      <c r="M506" s="610">
        <f>0.13</f>
        <v>0.13</v>
      </c>
      <c r="N506" s="680">
        <f>0.65*0.65*3.15*H506</f>
        <v>5.3235000000000001</v>
      </c>
      <c r="O506" s="680">
        <f>N506*K506*H506*0.1*M506</f>
        <v>4.9827960000000013</v>
      </c>
    </row>
    <row r="507" spans="1:15" s="109" customFormat="1" ht="15" customHeight="1">
      <c r="A507" s="376"/>
      <c r="B507" s="376"/>
      <c r="C507" s="1009" t="s">
        <v>1727</v>
      </c>
      <c r="D507" s="1009"/>
      <c r="E507" s="1009"/>
      <c r="F507" s="1009"/>
      <c r="G507" s="464" t="s">
        <v>61</v>
      </c>
      <c r="H507" s="609">
        <v>2</v>
      </c>
      <c r="I507" s="609">
        <v>2.2000000000000002</v>
      </c>
      <c r="J507" s="609">
        <v>3.9</v>
      </c>
      <c r="K507" s="610">
        <v>3.45</v>
      </c>
      <c r="L507" s="610"/>
      <c r="M507" s="610">
        <v>0.2</v>
      </c>
      <c r="N507" s="680"/>
      <c r="O507" s="680">
        <f>(((I507+J507)*2)*M507)*K507</f>
        <v>8.418000000000001</v>
      </c>
    </row>
    <row r="508" spans="1:15" s="109" customFormat="1" ht="15" customHeight="1">
      <c r="A508" s="376"/>
      <c r="B508" s="376"/>
      <c r="C508" s="1009" t="s">
        <v>1728</v>
      </c>
      <c r="D508" s="1009"/>
      <c r="E508" s="1009"/>
      <c r="F508" s="1009"/>
      <c r="G508" s="464" t="s">
        <v>61</v>
      </c>
      <c r="H508" s="609">
        <v>2</v>
      </c>
      <c r="I508" s="609">
        <v>2.2000000000000002</v>
      </c>
      <c r="J508" s="609">
        <v>3.9</v>
      </c>
      <c r="K508" s="610">
        <v>3.45</v>
      </c>
      <c r="L508" s="610"/>
      <c r="M508" s="610">
        <v>0.15</v>
      </c>
      <c r="N508" s="680"/>
      <c r="O508" s="680">
        <f>I508*J508*M508*H508</f>
        <v>2.5739999999999998</v>
      </c>
    </row>
    <row r="509" spans="1:15" s="109" customFormat="1" ht="15" customHeight="1">
      <c r="A509" s="376"/>
      <c r="B509" s="376"/>
      <c r="C509" s="1009" t="s">
        <v>1729</v>
      </c>
      <c r="D509" s="1009"/>
      <c r="E509" s="1009"/>
      <c r="F509" s="1009"/>
      <c r="G509" s="464" t="s">
        <v>61</v>
      </c>
      <c r="H509" s="609">
        <v>2</v>
      </c>
      <c r="I509" s="690">
        <v>1.85</v>
      </c>
      <c r="J509" s="609">
        <v>1.85</v>
      </c>
      <c r="K509" s="610">
        <v>3.75</v>
      </c>
      <c r="L509" s="610"/>
      <c r="M509" s="610">
        <v>0.2</v>
      </c>
      <c r="N509" s="680"/>
      <c r="O509" s="680">
        <f>(((I509+J509)*2)*M509)*K509</f>
        <v>5.5500000000000007</v>
      </c>
    </row>
    <row r="510" spans="1:15" s="109" customFormat="1" ht="15" customHeight="1">
      <c r="A510" s="376"/>
      <c r="B510" s="376"/>
      <c r="C510" s="1009" t="s">
        <v>1730</v>
      </c>
      <c r="D510" s="1009"/>
      <c r="E510" s="1009"/>
      <c r="F510" s="1009"/>
      <c r="G510" s="464" t="s">
        <v>61</v>
      </c>
      <c r="H510" s="609">
        <v>2</v>
      </c>
      <c r="I510" s="690">
        <v>1.85</v>
      </c>
      <c r="J510" s="609">
        <v>1.85</v>
      </c>
      <c r="K510" s="610">
        <v>3.75</v>
      </c>
      <c r="L510" s="400"/>
      <c r="M510" s="610">
        <v>0.15</v>
      </c>
      <c r="N510" s="680"/>
      <c r="O510" s="680">
        <f>(((I510+J510)*2)*M510)*K510*H510</f>
        <v>8.3250000000000011</v>
      </c>
    </row>
    <row r="511" spans="1:15" s="109" customFormat="1" ht="15" customHeight="1">
      <c r="A511" s="376"/>
      <c r="B511" s="376"/>
      <c r="C511" s="1033"/>
      <c r="D511" s="1033"/>
      <c r="E511" s="1033"/>
      <c r="F511" s="1033"/>
      <c r="G511" s="343"/>
      <c r="H511" s="412"/>
      <c r="I511" s="415"/>
      <c r="J511" s="413"/>
      <c r="K511" s="413"/>
      <c r="L511" s="400"/>
      <c r="M511" s="411"/>
      <c r="N511" s="400"/>
      <c r="O511" s="400"/>
    </row>
    <row r="512" spans="1:15" s="109" customFormat="1" ht="12.75" customHeight="1">
      <c r="A512" s="373" t="s">
        <v>11</v>
      </c>
      <c r="B512" s="375" t="s">
        <v>13</v>
      </c>
      <c r="C512" s="1007" t="s">
        <v>1443</v>
      </c>
      <c r="D512" s="1007"/>
      <c r="E512" s="1007"/>
      <c r="F512" s="1007"/>
      <c r="G512" s="375" t="s">
        <v>15</v>
      </c>
      <c r="H512" s="386" t="s">
        <v>1444</v>
      </c>
      <c r="I512" s="416" t="s">
        <v>1445</v>
      </c>
      <c r="J512" s="386" t="s">
        <v>1446</v>
      </c>
      <c r="K512" s="386" t="s">
        <v>1447</v>
      </c>
      <c r="L512" s="375" t="s">
        <v>1448</v>
      </c>
      <c r="M512" s="375" t="s">
        <v>1457</v>
      </c>
      <c r="N512" s="375" t="s">
        <v>1450</v>
      </c>
      <c r="O512" s="386" t="s">
        <v>1451</v>
      </c>
    </row>
    <row r="513" spans="1:15" s="109" customFormat="1" ht="37.5" customHeight="1">
      <c r="A513" s="377">
        <f>ORÇAMENTO!A85</f>
        <v>11640</v>
      </c>
      <c r="B513" s="377" t="str">
        <f>ORÇAMENTO!C85</f>
        <v>5.02.01</v>
      </c>
      <c r="C513" s="1003" t="str">
        <f>ORÇAMENTO!D85</f>
        <v>FORMA PLANA PARA ESTRUTURAS, EM COMPENSADO PLASTIFICADO DE 10MM, 02 USOS, INCLUSIVE ESCORAMENTO - REVISADA 07.2015</v>
      </c>
      <c r="D513" s="1003"/>
      <c r="E513" s="1003"/>
      <c r="F513" s="1003"/>
      <c r="G513" s="377" t="str">
        <f>ORÇAMENTO!E85</f>
        <v>M²</v>
      </c>
      <c r="H513" s="380"/>
      <c r="I513" s="387"/>
      <c r="J513" s="380"/>
      <c r="K513" s="388"/>
      <c r="L513" s="380"/>
      <c r="M513" s="379"/>
      <c r="N513" s="380">
        <f>SUM(N515:N712)</f>
        <v>2439.0477499999993</v>
      </c>
      <c r="O513" s="380"/>
    </row>
    <row r="514" spans="1:15" s="109" customFormat="1" ht="15" customHeight="1">
      <c r="A514" s="404"/>
      <c r="B514" s="404"/>
      <c r="C514" s="1093" t="s">
        <v>1601</v>
      </c>
      <c r="D514" s="1093"/>
      <c r="E514" s="1093"/>
      <c r="F514" s="1093"/>
      <c r="G514" s="404"/>
      <c r="H514" s="406"/>
      <c r="I514" s="407"/>
      <c r="J514" s="406"/>
      <c r="K514" s="408"/>
      <c r="L514" s="406"/>
      <c r="M514" s="409"/>
      <c r="N514" s="406"/>
      <c r="O514" s="340"/>
    </row>
    <row r="515" spans="1:15" s="109" customFormat="1" ht="15" customHeight="1">
      <c r="A515" s="376"/>
      <c r="B515" s="376"/>
      <c r="C515" s="1033" t="s">
        <v>1602</v>
      </c>
      <c r="D515" s="1033"/>
      <c r="E515" s="1033"/>
      <c r="F515" s="1033"/>
      <c r="G515" s="343" t="s">
        <v>61</v>
      </c>
      <c r="H515" s="410">
        <v>47</v>
      </c>
      <c r="I515" s="410">
        <v>0.14000000000000001</v>
      </c>
      <c r="J515" s="410">
        <v>0.26</v>
      </c>
      <c r="K515" s="410">
        <f>3.28</f>
        <v>3.28</v>
      </c>
      <c r="L515" s="400"/>
      <c r="M515" s="411"/>
      <c r="N515" s="400">
        <f>(((I515+0.05+J515+0.05)*2)*K515)*H515</f>
        <v>154.16</v>
      </c>
      <c r="O515" s="400"/>
    </row>
    <row r="516" spans="1:15" s="109" customFormat="1" ht="15" customHeight="1">
      <c r="A516" s="376"/>
      <c r="B516" s="376"/>
      <c r="C516" s="1033" t="s">
        <v>1603</v>
      </c>
      <c r="D516" s="1033"/>
      <c r="E516" s="1033"/>
      <c r="F516" s="1033"/>
      <c r="G516" s="343" t="s">
        <v>61</v>
      </c>
      <c r="H516" s="410">
        <v>2</v>
      </c>
      <c r="I516" s="410">
        <v>0.19</v>
      </c>
      <c r="J516" s="410">
        <v>0.4</v>
      </c>
      <c r="K516" s="410">
        <f>3.5+1.38+1.22+0.53</f>
        <v>6.63</v>
      </c>
      <c r="L516" s="400"/>
      <c r="M516" s="411"/>
      <c r="N516" s="400">
        <f t="shared" ref="N516:N529" si="21">(((I516+0.05+J516+0.05)*2)*K516)*H516</f>
        <v>18.2988</v>
      </c>
      <c r="O516" s="400"/>
    </row>
    <row r="517" spans="1:15" s="109" customFormat="1" ht="15" customHeight="1">
      <c r="A517" s="376"/>
      <c r="B517" s="376"/>
      <c r="C517" s="1033" t="s">
        <v>1604</v>
      </c>
      <c r="D517" s="1033"/>
      <c r="E517" s="1033"/>
      <c r="F517" s="1033"/>
      <c r="G517" s="343" t="s">
        <v>61</v>
      </c>
      <c r="H517" s="410">
        <v>2</v>
      </c>
      <c r="I517" s="410">
        <v>0.19</v>
      </c>
      <c r="J517" s="410">
        <v>0.6</v>
      </c>
      <c r="K517" s="410">
        <f>4.6+1.65</f>
        <v>6.25</v>
      </c>
      <c r="L517" s="400"/>
      <c r="M517" s="411"/>
      <c r="N517" s="400">
        <f t="shared" si="21"/>
        <v>22.25</v>
      </c>
      <c r="O517" s="400"/>
    </row>
    <row r="518" spans="1:15" s="109" customFormat="1" ht="15" customHeight="1">
      <c r="A518" s="376"/>
      <c r="B518" s="376"/>
      <c r="C518" s="1033" t="s">
        <v>1605</v>
      </c>
      <c r="D518" s="1033"/>
      <c r="E518" s="1033"/>
      <c r="F518" s="1033"/>
      <c r="G518" s="343" t="s">
        <v>61</v>
      </c>
      <c r="H518" s="410">
        <v>5</v>
      </c>
      <c r="I518" s="410">
        <v>0.14000000000000001</v>
      </c>
      <c r="J518" s="410">
        <v>0.26</v>
      </c>
      <c r="K518" s="410">
        <f>3.3+1.3</f>
        <v>4.5999999999999996</v>
      </c>
      <c r="L518" s="400"/>
      <c r="M518" s="411"/>
      <c r="N518" s="400">
        <f t="shared" si="21"/>
        <v>23</v>
      </c>
      <c r="O518" s="400"/>
    </row>
    <row r="519" spans="1:15" s="109" customFormat="1" ht="15" customHeight="1">
      <c r="A519" s="376"/>
      <c r="B519" s="376"/>
      <c r="C519" s="1033" t="s">
        <v>1606</v>
      </c>
      <c r="D519" s="1033"/>
      <c r="E519" s="1033"/>
      <c r="F519" s="1033"/>
      <c r="G519" s="343" t="s">
        <v>61</v>
      </c>
      <c r="H519" s="410">
        <v>1</v>
      </c>
      <c r="I519" s="410">
        <v>0.14000000000000001</v>
      </c>
      <c r="J519" s="410">
        <v>0.4</v>
      </c>
      <c r="K519" s="410">
        <f>3.3+1.3</f>
        <v>4.5999999999999996</v>
      </c>
      <c r="L519" s="400"/>
      <c r="M519" s="411"/>
      <c r="N519" s="400">
        <f t="shared" si="21"/>
        <v>5.8880000000000008</v>
      </c>
      <c r="O519" s="400"/>
    </row>
    <row r="520" spans="1:15" s="109" customFormat="1" ht="15" customHeight="1">
      <c r="A520" s="376"/>
      <c r="B520" s="376"/>
      <c r="C520" s="1033" t="s">
        <v>1607</v>
      </c>
      <c r="D520" s="1033"/>
      <c r="E520" s="1033"/>
      <c r="F520" s="1033"/>
      <c r="G520" s="343" t="s">
        <v>61</v>
      </c>
      <c r="H520" s="410">
        <v>2</v>
      </c>
      <c r="I520" s="410">
        <v>0.25</v>
      </c>
      <c r="J520" s="410">
        <v>0.25</v>
      </c>
      <c r="K520" s="410">
        <f>4.6</f>
        <v>4.5999999999999996</v>
      </c>
      <c r="L520" s="400"/>
      <c r="M520" s="411"/>
      <c r="N520" s="400">
        <f t="shared" si="21"/>
        <v>11.040000000000001</v>
      </c>
      <c r="O520" s="400"/>
    </row>
    <row r="521" spans="1:15" s="109" customFormat="1" ht="15" customHeight="1">
      <c r="A521" s="376"/>
      <c r="B521" s="376"/>
      <c r="C521" s="1033" t="s">
        <v>1608</v>
      </c>
      <c r="D521" s="1033"/>
      <c r="E521" s="1033"/>
      <c r="F521" s="1033"/>
      <c r="G521" s="343" t="s">
        <v>61</v>
      </c>
      <c r="H521" s="410">
        <v>6</v>
      </c>
      <c r="I521" s="410">
        <v>0.14000000000000001</v>
      </c>
      <c r="J521" s="410">
        <v>0.35</v>
      </c>
      <c r="K521" s="410">
        <f>3.3</f>
        <v>3.3</v>
      </c>
      <c r="L521" s="400"/>
      <c r="M521" s="411"/>
      <c r="N521" s="400">
        <f t="shared" si="21"/>
        <v>23.364000000000001</v>
      </c>
      <c r="O521" s="400"/>
    </row>
    <row r="522" spans="1:15" s="109" customFormat="1" ht="15" customHeight="1">
      <c r="A522" s="376"/>
      <c r="B522" s="376"/>
      <c r="C522" s="1033" t="s">
        <v>1609</v>
      </c>
      <c r="D522" s="1033"/>
      <c r="E522" s="1033"/>
      <c r="F522" s="1033"/>
      <c r="G522" s="343" t="s">
        <v>61</v>
      </c>
      <c r="H522" s="410">
        <v>1</v>
      </c>
      <c r="I522" s="410">
        <v>0.14000000000000001</v>
      </c>
      <c r="J522" s="410">
        <v>0.4</v>
      </c>
      <c r="K522" s="410">
        <f>3.3+1.3</f>
        <v>4.5999999999999996</v>
      </c>
      <c r="L522" s="400"/>
      <c r="M522" s="411"/>
      <c r="N522" s="400">
        <f t="shared" si="21"/>
        <v>5.8880000000000008</v>
      </c>
      <c r="O522" s="400"/>
    </row>
    <row r="523" spans="1:15" s="109" customFormat="1" ht="15" customHeight="1">
      <c r="A523" s="376"/>
      <c r="B523" s="376"/>
      <c r="C523" s="1033" t="s">
        <v>1610</v>
      </c>
      <c r="D523" s="1033"/>
      <c r="E523" s="1033"/>
      <c r="F523" s="1033"/>
      <c r="G523" s="343" t="s">
        <v>61</v>
      </c>
      <c r="H523" s="410">
        <v>3</v>
      </c>
      <c r="I523" s="410">
        <v>0.14000000000000001</v>
      </c>
      <c r="J523" s="410">
        <v>0.35</v>
      </c>
      <c r="K523" s="410">
        <f>3.3+1.3</f>
        <v>4.5999999999999996</v>
      </c>
      <c r="L523" s="400"/>
      <c r="M523" s="411"/>
      <c r="N523" s="400">
        <f t="shared" si="21"/>
        <v>16.283999999999999</v>
      </c>
      <c r="O523" s="400"/>
    </row>
    <row r="524" spans="1:15" s="109" customFormat="1" ht="15" customHeight="1">
      <c r="A524" s="376"/>
      <c r="B524" s="376"/>
      <c r="C524" s="1033" t="s">
        <v>1611</v>
      </c>
      <c r="D524" s="1033"/>
      <c r="E524" s="1033"/>
      <c r="F524" s="1033"/>
      <c r="G524" s="343" t="s">
        <v>61</v>
      </c>
      <c r="H524" s="410">
        <v>1</v>
      </c>
      <c r="I524" s="410">
        <v>0.14000000000000001</v>
      </c>
      <c r="J524" s="410">
        <v>0.4</v>
      </c>
      <c r="K524" s="410">
        <f>3.3+1.3+1.15</f>
        <v>5.75</v>
      </c>
      <c r="L524" s="400"/>
      <c r="M524" s="411"/>
      <c r="N524" s="400">
        <f t="shared" si="21"/>
        <v>7.3600000000000012</v>
      </c>
      <c r="O524" s="400"/>
    </row>
    <row r="525" spans="1:15" s="109" customFormat="1" ht="15" customHeight="1">
      <c r="A525" s="376"/>
      <c r="B525" s="376"/>
      <c r="C525" s="1033" t="s">
        <v>1612</v>
      </c>
      <c r="D525" s="1033"/>
      <c r="E525" s="1033"/>
      <c r="F525" s="1033"/>
      <c r="G525" s="343" t="s">
        <v>61</v>
      </c>
      <c r="H525" s="410">
        <v>1</v>
      </c>
      <c r="I525" s="410">
        <v>0.14000000000000001</v>
      </c>
      <c r="J525" s="410">
        <v>0.45</v>
      </c>
      <c r="K525" s="410">
        <f>3.3+1.3+1.15</f>
        <v>5.75</v>
      </c>
      <c r="L525" s="400"/>
      <c r="M525" s="411"/>
      <c r="N525" s="400">
        <f t="shared" si="21"/>
        <v>7.9350000000000005</v>
      </c>
      <c r="O525" s="400"/>
    </row>
    <row r="526" spans="1:15" s="109" customFormat="1" ht="15" customHeight="1">
      <c r="A526" s="376"/>
      <c r="B526" s="376"/>
      <c r="C526" s="1033" t="s">
        <v>1613</v>
      </c>
      <c r="D526" s="1033"/>
      <c r="E526" s="1033"/>
      <c r="F526" s="1033"/>
      <c r="G526" s="343" t="s">
        <v>61</v>
      </c>
      <c r="H526" s="410">
        <v>1</v>
      </c>
      <c r="I526" s="410">
        <v>0.14000000000000001</v>
      </c>
      <c r="J526" s="410">
        <v>0.4</v>
      </c>
      <c r="K526" s="410">
        <f>3.3+1.3+1.15</f>
        <v>5.75</v>
      </c>
      <c r="L526" s="400"/>
      <c r="M526" s="411"/>
      <c r="N526" s="400">
        <f t="shared" si="21"/>
        <v>7.3600000000000012</v>
      </c>
      <c r="O526" s="400"/>
    </row>
    <row r="527" spans="1:15" s="109" customFormat="1" ht="15" customHeight="1">
      <c r="A527" s="376"/>
      <c r="B527" s="376"/>
      <c r="C527" s="1033" t="s">
        <v>1614</v>
      </c>
      <c r="D527" s="1033"/>
      <c r="E527" s="1033"/>
      <c r="F527" s="1033"/>
      <c r="G527" s="343" t="s">
        <v>61</v>
      </c>
      <c r="H527" s="410">
        <v>1</v>
      </c>
      <c r="I527" s="410">
        <v>0.14000000000000001</v>
      </c>
      <c r="J527" s="410">
        <v>0.35</v>
      </c>
      <c r="K527" s="410">
        <f>3.3+1.3</f>
        <v>4.5999999999999996</v>
      </c>
      <c r="L527" s="400"/>
      <c r="M527" s="411"/>
      <c r="N527" s="400">
        <f t="shared" si="21"/>
        <v>5.4279999999999999</v>
      </c>
      <c r="O527" s="400"/>
    </row>
    <row r="528" spans="1:15" s="109" customFormat="1" ht="15" customHeight="1">
      <c r="A528" s="376"/>
      <c r="B528" s="376"/>
      <c r="C528" s="1033" t="s">
        <v>1615</v>
      </c>
      <c r="D528" s="1033"/>
      <c r="E528" s="1033"/>
      <c r="F528" s="1033"/>
      <c r="G528" s="343" t="s">
        <v>61</v>
      </c>
      <c r="H528" s="410">
        <v>1</v>
      </c>
      <c r="I528" s="410">
        <v>0.14000000000000001</v>
      </c>
      <c r="J528" s="410">
        <v>0.35</v>
      </c>
      <c r="K528" s="410">
        <v>0.82</v>
      </c>
      <c r="L528" s="400"/>
      <c r="M528" s="411"/>
      <c r="N528" s="400">
        <f t="shared" si="21"/>
        <v>0.96760000000000013</v>
      </c>
      <c r="O528" s="400"/>
    </row>
    <row r="529" spans="1:15" s="109" customFormat="1" ht="15" customHeight="1">
      <c r="A529" s="376"/>
      <c r="B529" s="376"/>
      <c r="C529" s="1033" t="s">
        <v>1616</v>
      </c>
      <c r="D529" s="1033"/>
      <c r="E529" s="1033"/>
      <c r="F529" s="1033"/>
      <c r="G529" s="343" t="s">
        <v>61</v>
      </c>
      <c r="H529" s="410">
        <v>13</v>
      </c>
      <c r="I529" s="410">
        <v>0.14000000000000001</v>
      </c>
      <c r="J529" s="410">
        <v>0.16</v>
      </c>
      <c r="K529" s="410">
        <f>1.3+1.15</f>
        <v>2.4500000000000002</v>
      </c>
      <c r="L529" s="400"/>
      <c r="M529" s="411"/>
      <c r="N529" s="400">
        <f t="shared" si="21"/>
        <v>25.48</v>
      </c>
      <c r="O529" s="400"/>
    </row>
    <row r="530" spans="1:15" s="109" customFormat="1" ht="15" customHeight="1">
      <c r="A530" s="376"/>
      <c r="B530" s="376"/>
      <c r="C530" s="1093" t="s">
        <v>1617</v>
      </c>
      <c r="D530" s="1093"/>
      <c r="E530" s="1093"/>
      <c r="F530" s="1093"/>
      <c r="G530" s="343"/>
      <c r="H530" s="400"/>
      <c r="I530" s="401"/>
      <c r="J530" s="400"/>
      <c r="K530" s="400"/>
      <c r="L530" s="400"/>
      <c r="M530" s="411"/>
      <c r="N530" s="400"/>
      <c r="O530" s="400"/>
    </row>
    <row r="531" spans="1:15" s="109" customFormat="1" ht="15" customHeight="1">
      <c r="A531" s="376"/>
      <c r="B531" s="376"/>
      <c r="C531" s="1033" t="s">
        <v>1618</v>
      </c>
      <c r="D531" s="1033"/>
      <c r="E531" s="1033"/>
      <c r="F531" s="1033"/>
      <c r="G531" s="343" t="s">
        <v>61</v>
      </c>
      <c r="H531" s="412"/>
      <c r="I531" s="413">
        <v>0.14000000000000001</v>
      </c>
      <c r="J531" s="413">
        <f>0.14+4.06+0.14+5.34+0.14+5.51+0.14</f>
        <v>15.47</v>
      </c>
      <c r="K531" s="413">
        <v>0.45</v>
      </c>
      <c r="L531" s="400"/>
      <c r="M531" s="411"/>
      <c r="N531" s="400">
        <f>((I531+K531)*2)*J531</f>
        <v>18.254600000000003</v>
      </c>
      <c r="O531" s="400"/>
    </row>
    <row r="532" spans="1:15" s="109" customFormat="1" ht="15" customHeight="1">
      <c r="A532" s="376"/>
      <c r="B532" s="376"/>
      <c r="C532" s="1033" t="s">
        <v>1619</v>
      </c>
      <c r="D532" s="1033"/>
      <c r="E532" s="1033"/>
      <c r="F532" s="1033"/>
      <c r="G532" s="343" t="s">
        <v>61</v>
      </c>
      <c r="H532" s="412"/>
      <c r="I532" s="413">
        <v>0.14000000000000001</v>
      </c>
      <c r="J532" s="413">
        <f>0.14+2.51+0.14+2.51+0.14+1.51+0.14+1.85+0.14+1.81+0.14+1.51+0.14</f>
        <v>12.680000000000001</v>
      </c>
      <c r="K532" s="413">
        <v>0.45</v>
      </c>
      <c r="L532" s="400"/>
      <c r="M532" s="411"/>
      <c r="N532" s="400">
        <f t="shared" ref="N532:N595" si="22">((I532+K532)*2)*J532</f>
        <v>14.962400000000004</v>
      </c>
      <c r="O532" s="400"/>
    </row>
    <row r="533" spans="1:15" s="109" customFormat="1" ht="15" customHeight="1">
      <c r="A533" s="376"/>
      <c r="B533" s="376"/>
      <c r="C533" s="1033" t="s">
        <v>1620</v>
      </c>
      <c r="D533" s="1033"/>
      <c r="E533" s="1033"/>
      <c r="F533" s="1033"/>
      <c r="G533" s="343" t="s">
        <v>61</v>
      </c>
      <c r="H533" s="412"/>
      <c r="I533" s="413">
        <v>0.14000000000000001</v>
      </c>
      <c r="J533" s="413">
        <f>0.14+5.51+0.14</f>
        <v>5.7899999999999991</v>
      </c>
      <c r="K533" s="413">
        <v>0.45</v>
      </c>
      <c r="L533" s="400"/>
      <c r="M533" s="411"/>
      <c r="N533" s="400">
        <f t="shared" si="22"/>
        <v>6.8322000000000003</v>
      </c>
      <c r="O533" s="400"/>
    </row>
    <row r="534" spans="1:15" s="109" customFormat="1" ht="15" customHeight="1">
      <c r="A534" s="342"/>
      <c r="B534" s="342"/>
      <c r="C534" s="1033" t="s">
        <v>1621</v>
      </c>
      <c r="D534" s="1033"/>
      <c r="E534" s="1033"/>
      <c r="F534" s="1033"/>
      <c r="G534" s="343" t="s">
        <v>61</v>
      </c>
      <c r="H534" s="412"/>
      <c r="I534" s="413">
        <v>0.14000000000000001</v>
      </c>
      <c r="J534" s="413">
        <f>0.14+1.51+0.14+1.85+0.14+1.71+0.14+1.51+0.14</f>
        <v>7.2799999999999994</v>
      </c>
      <c r="K534" s="413">
        <v>0.35</v>
      </c>
      <c r="L534" s="414"/>
      <c r="M534" s="414"/>
      <c r="N534" s="400">
        <f t="shared" si="22"/>
        <v>7.1343999999999994</v>
      </c>
      <c r="O534" s="400"/>
    </row>
    <row r="535" spans="1:15" s="109" customFormat="1" ht="15" customHeight="1">
      <c r="A535" s="342"/>
      <c r="B535" s="342"/>
      <c r="C535" s="1033" t="s">
        <v>1622</v>
      </c>
      <c r="D535" s="1033"/>
      <c r="E535" s="1033"/>
      <c r="F535" s="1033"/>
      <c r="G535" s="343" t="s">
        <v>61</v>
      </c>
      <c r="H535" s="412"/>
      <c r="I535" s="413">
        <v>0.14000000000000001</v>
      </c>
      <c r="J535" s="413">
        <v>5.62</v>
      </c>
      <c r="K535" s="413">
        <v>0.45</v>
      </c>
      <c r="L535" s="414"/>
      <c r="M535" s="414"/>
      <c r="N535" s="400">
        <f t="shared" si="22"/>
        <v>6.6316000000000006</v>
      </c>
      <c r="O535" s="400"/>
    </row>
    <row r="536" spans="1:15" s="109" customFormat="1" ht="15" customHeight="1">
      <c r="A536" s="342"/>
      <c r="B536" s="342"/>
      <c r="C536" s="1033" t="s">
        <v>1623</v>
      </c>
      <c r="D536" s="1033"/>
      <c r="E536" s="1033"/>
      <c r="F536" s="1033"/>
      <c r="G536" s="343" t="s">
        <v>61</v>
      </c>
      <c r="H536" s="412"/>
      <c r="I536" s="413">
        <v>0.14000000000000001</v>
      </c>
      <c r="J536" s="413">
        <v>9.93</v>
      </c>
      <c r="K536" s="413">
        <v>0.45</v>
      </c>
      <c r="L536" s="414"/>
      <c r="M536" s="414"/>
      <c r="N536" s="400">
        <f t="shared" si="22"/>
        <v>11.717400000000001</v>
      </c>
      <c r="O536" s="400"/>
    </row>
    <row r="537" spans="1:15" s="109" customFormat="1" ht="15" customHeight="1">
      <c r="A537" s="342"/>
      <c r="B537" s="342"/>
      <c r="C537" s="1033" t="s">
        <v>1624</v>
      </c>
      <c r="D537" s="1033"/>
      <c r="E537" s="1033"/>
      <c r="F537" s="1033"/>
      <c r="G537" s="343" t="s">
        <v>61</v>
      </c>
      <c r="H537" s="412"/>
      <c r="I537" s="413">
        <v>0.14000000000000001</v>
      </c>
      <c r="J537" s="413">
        <v>4.6900000000000004</v>
      </c>
      <c r="K537" s="413">
        <v>0.45</v>
      </c>
      <c r="L537" s="414"/>
      <c r="M537" s="414"/>
      <c r="N537" s="400">
        <f t="shared" si="22"/>
        <v>5.5342000000000011</v>
      </c>
      <c r="O537" s="400"/>
    </row>
    <row r="538" spans="1:15" s="109" customFormat="1" ht="15" customHeight="1">
      <c r="A538" s="342"/>
      <c r="B538" s="342"/>
      <c r="C538" s="1033" t="s">
        <v>1625</v>
      </c>
      <c r="D538" s="1033"/>
      <c r="E538" s="1033"/>
      <c r="F538" s="1033"/>
      <c r="G538" s="343" t="s">
        <v>61</v>
      </c>
      <c r="H538" s="412"/>
      <c r="I538" s="413">
        <v>0.14000000000000001</v>
      </c>
      <c r="J538" s="413">
        <v>5.69</v>
      </c>
      <c r="K538" s="413">
        <v>0.45</v>
      </c>
      <c r="L538" s="414"/>
      <c r="M538" s="414"/>
      <c r="N538" s="400">
        <f t="shared" si="22"/>
        <v>6.7142000000000017</v>
      </c>
      <c r="O538" s="400"/>
    </row>
    <row r="539" spans="1:15" s="109" customFormat="1" ht="15" customHeight="1">
      <c r="A539" s="342"/>
      <c r="B539" s="342"/>
      <c r="C539" s="1033" t="s">
        <v>1626</v>
      </c>
      <c r="D539" s="1033"/>
      <c r="E539" s="1033"/>
      <c r="F539" s="1033"/>
      <c r="G539" s="343" t="s">
        <v>61</v>
      </c>
      <c r="H539" s="412"/>
      <c r="I539" s="413">
        <v>0.14000000000000001</v>
      </c>
      <c r="J539" s="413">
        <v>4.6900000000000004</v>
      </c>
      <c r="K539" s="413">
        <v>0.45</v>
      </c>
      <c r="L539" s="414"/>
      <c r="M539" s="414"/>
      <c r="N539" s="400">
        <f t="shared" si="22"/>
        <v>5.5342000000000011</v>
      </c>
      <c r="O539" s="400"/>
    </row>
    <row r="540" spans="1:15" s="109" customFormat="1" ht="15" customHeight="1">
      <c r="A540" s="342"/>
      <c r="B540" s="342"/>
      <c r="C540" s="1033" t="s">
        <v>1627</v>
      </c>
      <c r="D540" s="1033"/>
      <c r="E540" s="1033"/>
      <c r="F540" s="1033"/>
      <c r="G540" s="343" t="s">
        <v>61</v>
      </c>
      <c r="H540" s="412"/>
      <c r="I540" s="413">
        <v>0.14000000000000001</v>
      </c>
      <c r="J540" s="413">
        <v>12.45</v>
      </c>
      <c r="K540" s="413">
        <v>0.35</v>
      </c>
      <c r="L540" s="414"/>
      <c r="M540" s="414"/>
      <c r="N540" s="400">
        <f t="shared" si="22"/>
        <v>12.200999999999999</v>
      </c>
      <c r="O540" s="400"/>
    </row>
    <row r="541" spans="1:15" s="109" customFormat="1" ht="15" customHeight="1">
      <c r="A541" s="342"/>
      <c r="B541" s="342"/>
      <c r="C541" s="1033" t="s">
        <v>1628</v>
      </c>
      <c r="D541" s="1033"/>
      <c r="E541" s="1033"/>
      <c r="F541" s="1033"/>
      <c r="G541" s="343" t="s">
        <v>61</v>
      </c>
      <c r="H541" s="412"/>
      <c r="I541" s="413">
        <v>0.14000000000000001</v>
      </c>
      <c r="J541" s="413">
        <v>19.22</v>
      </c>
      <c r="K541" s="413">
        <v>0.45</v>
      </c>
      <c r="L541" s="414"/>
      <c r="M541" s="414"/>
      <c r="N541" s="400">
        <f t="shared" si="22"/>
        <v>22.679600000000001</v>
      </c>
      <c r="O541" s="400"/>
    </row>
    <row r="542" spans="1:15" s="109" customFormat="1" ht="15" customHeight="1">
      <c r="A542" s="376"/>
      <c r="B542" s="376"/>
      <c r="C542" s="1033" t="s">
        <v>1629</v>
      </c>
      <c r="D542" s="1033"/>
      <c r="E542" s="1033"/>
      <c r="F542" s="1033"/>
      <c r="G542" s="343" t="s">
        <v>61</v>
      </c>
      <c r="H542" s="412"/>
      <c r="I542" s="413">
        <v>0.14000000000000001</v>
      </c>
      <c r="J542" s="413">
        <v>16.420000000000002</v>
      </c>
      <c r="K542" s="413">
        <v>0.45</v>
      </c>
      <c r="L542" s="400"/>
      <c r="M542" s="411"/>
      <c r="N542" s="400">
        <f t="shared" si="22"/>
        <v>19.375600000000006</v>
      </c>
      <c r="O542" s="400"/>
    </row>
    <row r="543" spans="1:15" s="109" customFormat="1" ht="15" customHeight="1">
      <c r="A543" s="376"/>
      <c r="B543" s="376"/>
      <c r="C543" s="1033" t="s">
        <v>1630</v>
      </c>
      <c r="D543" s="1033"/>
      <c r="E543" s="1033"/>
      <c r="F543" s="1033"/>
      <c r="G543" s="343" t="s">
        <v>61</v>
      </c>
      <c r="H543" s="412"/>
      <c r="I543" s="413">
        <v>0.14000000000000001</v>
      </c>
      <c r="J543" s="413">
        <v>4.5999999999999996</v>
      </c>
      <c r="K543" s="413">
        <v>0.45</v>
      </c>
      <c r="L543" s="400"/>
      <c r="M543" s="411"/>
      <c r="N543" s="400">
        <f t="shared" si="22"/>
        <v>5.4279999999999999</v>
      </c>
      <c r="O543" s="400"/>
    </row>
    <row r="544" spans="1:15" s="109" customFormat="1" ht="15" customHeight="1">
      <c r="A544" s="376"/>
      <c r="B544" s="376"/>
      <c r="C544" s="1033" t="s">
        <v>1631</v>
      </c>
      <c r="D544" s="1033"/>
      <c r="E544" s="1033"/>
      <c r="F544" s="1033"/>
      <c r="G544" s="343" t="s">
        <v>61</v>
      </c>
      <c r="H544" s="412"/>
      <c r="I544" s="413">
        <v>0.14000000000000001</v>
      </c>
      <c r="J544" s="413">
        <v>16.78</v>
      </c>
      <c r="K544" s="413">
        <v>0.45</v>
      </c>
      <c r="L544" s="400"/>
      <c r="M544" s="411"/>
      <c r="N544" s="400">
        <f t="shared" si="22"/>
        <v>19.800400000000003</v>
      </c>
      <c r="O544" s="400"/>
    </row>
    <row r="545" spans="1:15" s="109" customFormat="1" ht="15" customHeight="1">
      <c r="A545" s="376"/>
      <c r="B545" s="376"/>
      <c r="C545" s="1033" t="s">
        <v>1632</v>
      </c>
      <c r="D545" s="1033"/>
      <c r="E545" s="1033"/>
      <c r="F545" s="1033"/>
      <c r="G545" s="343" t="s">
        <v>61</v>
      </c>
      <c r="H545" s="412"/>
      <c r="I545" s="413">
        <v>0.14000000000000001</v>
      </c>
      <c r="J545" s="413">
        <v>6.9</v>
      </c>
      <c r="K545" s="413">
        <v>0.5</v>
      </c>
      <c r="L545" s="400"/>
      <c r="M545" s="411"/>
      <c r="N545" s="400">
        <f t="shared" si="22"/>
        <v>8.8320000000000007</v>
      </c>
      <c r="O545" s="400"/>
    </row>
    <row r="546" spans="1:15" s="109" customFormat="1" ht="15" customHeight="1">
      <c r="A546" s="342"/>
      <c r="B546" s="342"/>
      <c r="C546" s="1033" t="s">
        <v>1633</v>
      </c>
      <c r="D546" s="1033"/>
      <c r="E546" s="1033"/>
      <c r="F546" s="1033"/>
      <c r="G546" s="343" t="s">
        <v>61</v>
      </c>
      <c r="H546" s="412"/>
      <c r="I546" s="413">
        <v>0.14000000000000001</v>
      </c>
      <c r="J546" s="413">
        <v>16.420000000000002</v>
      </c>
      <c r="K546" s="413">
        <v>0.45</v>
      </c>
      <c r="L546" s="414"/>
      <c r="M546" s="414"/>
      <c r="N546" s="400">
        <f t="shared" si="22"/>
        <v>19.375600000000006</v>
      </c>
      <c r="O546" s="400"/>
    </row>
    <row r="547" spans="1:15" s="109" customFormat="1" ht="15" customHeight="1">
      <c r="A547" s="342"/>
      <c r="B547" s="342"/>
      <c r="C547" s="1033" t="s">
        <v>1634</v>
      </c>
      <c r="D547" s="1033"/>
      <c r="E547" s="1033"/>
      <c r="F547" s="1033"/>
      <c r="G547" s="343" t="s">
        <v>61</v>
      </c>
      <c r="H547" s="412"/>
      <c r="I547" s="413">
        <v>0.14000000000000001</v>
      </c>
      <c r="J547" s="413">
        <v>9.98</v>
      </c>
      <c r="K547" s="413">
        <v>0.4</v>
      </c>
      <c r="L547" s="414"/>
      <c r="M547" s="414"/>
      <c r="N547" s="400">
        <f t="shared" si="22"/>
        <v>10.778400000000001</v>
      </c>
      <c r="O547" s="400"/>
    </row>
    <row r="548" spans="1:15" s="109" customFormat="1" ht="15" customHeight="1">
      <c r="A548" s="342"/>
      <c r="B548" s="342"/>
      <c r="C548" s="1033" t="s">
        <v>1635</v>
      </c>
      <c r="D548" s="1033"/>
      <c r="E548" s="1033"/>
      <c r="F548" s="1033"/>
      <c r="G548" s="343" t="s">
        <v>61</v>
      </c>
      <c r="H548" s="412"/>
      <c r="I548" s="413">
        <v>0.14000000000000001</v>
      </c>
      <c r="J548" s="413">
        <v>11.17</v>
      </c>
      <c r="K548" s="413">
        <v>0.45</v>
      </c>
      <c r="L548" s="414"/>
      <c r="M548" s="414"/>
      <c r="N548" s="400">
        <f t="shared" si="22"/>
        <v>13.180600000000002</v>
      </c>
      <c r="O548" s="400"/>
    </row>
    <row r="549" spans="1:15" s="109" customFormat="1" ht="15" customHeight="1">
      <c r="A549" s="342"/>
      <c r="B549" s="342"/>
      <c r="C549" s="1033" t="s">
        <v>1636</v>
      </c>
      <c r="D549" s="1033"/>
      <c r="E549" s="1033"/>
      <c r="F549" s="1033"/>
      <c r="G549" s="343" t="s">
        <v>61</v>
      </c>
      <c r="H549" s="412"/>
      <c r="I549" s="413">
        <v>0.14000000000000001</v>
      </c>
      <c r="J549" s="413">
        <v>5.79</v>
      </c>
      <c r="K549" s="413">
        <v>0.45</v>
      </c>
      <c r="L549" s="414"/>
      <c r="M549" s="414"/>
      <c r="N549" s="400">
        <f t="shared" si="22"/>
        <v>6.8322000000000012</v>
      </c>
      <c r="O549" s="400"/>
    </row>
    <row r="550" spans="1:15" s="109" customFormat="1" ht="15" customHeight="1">
      <c r="A550" s="342"/>
      <c r="B550" s="342"/>
      <c r="C550" s="1033" t="s">
        <v>1637</v>
      </c>
      <c r="D550" s="1033"/>
      <c r="E550" s="1033"/>
      <c r="F550" s="1033"/>
      <c r="G550" s="343" t="s">
        <v>61</v>
      </c>
      <c r="H550" s="412"/>
      <c r="I550" s="413">
        <v>0.14000000000000001</v>
      </c>
      <c r="J550" s="413">
        <v>19.97</v>
      </c>
      <c r="K550" s="413">
        <v>0.4</v>
      </c>
      <c r="L550" s="414"/>
      <c r="M550" s="414"/>
      <c r="N550" s="400">
        <f t="shared" si="22"/>
        <v>21.567599999999999</v>
      </c>
      <c r="O550" s="400"/>
    </row>
    <row r="551" spans="1:15" s="109" customFormat="1" ht="15" customHeight="1">
      <c r="A551" s="342"/>
      <c r="B551" s="342"/>
      <c r="C551" s="1033" t="s">
        <v>1638</v>
      </c>
      <c r="D551" s="1033"/>
      <c r="E551" s="1033"/>
      <c r="F551" s="1033"/>
      <c r="G551" s="343" t="s">
        <v>61</v>
      </c>
      <c r="H551" s="412"/>
      <c r="I551" s="413">
        <v>0.14000000000000001</v>
      </c>
      <c r="J551" s="413">
        <v>6.09</v>
      </c>
      <c r="K551" s="413">
        <v>0.4</v>
      </c>
      <c r="L551" s="414"/>
      <c r="M551" s="414"/>
      <c r="N551" s="400">
        <f t="shared" si="22"/>
        <v>6.5772000000000004</v>
      </c>
      <c r="O551" s="400"/>
    </row>
    <row r="552" spans="1:15" s="109" customFormat="1" ht="15" customHeight="1">
      <c r="A552" s="342"/>
      <c r="B552" s="342"/>
      <c r="C552" s="1033" t="s">
        <v>1639</v>
      </c>
      <c r="D552" s="1033"/>
      <c r="E552" s="1033"/>
      <c r="F552" s="1033"/>
      <c r="G552" s="343" t="s">
        <v>61</v>
      </c>
      <c r="H552" s="412"/>
      <c r="I552" s="413">
        <v>0.14000000000000001</v>
      </c>
      <c r="J552" s="413">
        <v>4.04</v>
      </c>
      <c r="K552" s="413">
        <v>0.4</v>
      </c>
      <c r="L552" s="414"/>
      <c r="M552" s="414"/>
      <c r="N552" s="400">
        <f t="shared" si="22"/>
        <v>4.3632</v>
      </c>
      <c r="O552" s="400"/>
    </row>
    <row r="553" spans="1:15" s="109" customFormat="1" ht="15" customHeight="1">
      <c r="A553" s="342"/>
      <c r="B553" s="342"/>
      <c r="C553" s="1033" t="s">
        <v>1640</v>
      </c>
      <c r="D553" s="1033"/>
      <c r="E553" s="1033"/>
      <c r="F553" s="1033"/>
      <c r="G553" s="343" t="s">
        <v>61</v>
      </c>
      <c r="H553" s="412"/>
      <c r="I553" s="413">
        <v>0.14000000000000001</v>
      </c>
      <c r="J553" s="413">
        <v>3.4875000000000003</v>
      </c>
      <c r="K553" s="413">
        <v>0.45</v>
      </c>
      <c r="L553" s="414"/>
      <c r="M553" s="414"/>
      <c r="N553" s="400">
        <f t="shared" si="22"/>
        <v>4.1152500000000005</v>
      </c>
      <c r="O553" s="400"/>
    </row>
    <row r="554" spans="1:15" s="109" customFormat="1" ht="15" customHeight="1">
      <c r="A554" s="376"/>
      <c r="B554" s="376"/>
      <c r="C554" s="1033" t="s">
        <v>1641</v>
      </c>
      <c r="D554" s="1033"/>
      <c r="E554" s="1033"/>
      <c r="F554" s="1033"/>
      <c r="G554" s="343" t="s">
        <v>61</v>
      </c>
      <c r="H554" s="412"/>
      <c r="I554" s="413">
        <v>0.14000000000000001</v>
      </c>
      <c r="J554" s="413">
        <v>7.3424999999999994</v>
      </c>
      <c r="K554" s="413">
        <v>0.4</v>
      </c>
      <c r="L554" s="414"/>
      <c r="M554" s="411"/>
      <c r="N554" s="400">
        <f t="shared" si="22"/>
        <v>7.9298999999999999</v>
      </c>
      <c r="O554" s="400"/>
    </row>
    <row r="555" spans="1:15" s="109" customFormat="1" ht="15" customHeight="1">
      <c r="A555" s="376"/>
      <c r="B555" s="376"/>
      <c r="C555" s="1033" t="s">
        <v>1642</v>
      </c>
      <c r="D555" s="1033"/>
      <c r="E555" s="1033"/>
      <c r="F555" s="1033"/>
      <c r="G555" s="343" t="s">
        <v>61</v>
      </c>
      <c r="H555" s="412"/>
      <c r="I555" s="413">
        <v>0.14000000000000001</v>
      </c>
      <c r="J555" s="413">
        <v>6.09</v>
      </c>
      <c r="K555" s="413">
        <v>0.4</v>
      </c>
      <c r="L555" s="414"/>
      <c r="M555" s="411"/>
      <c r="N555" s="400">
        <f t="shared" si="22"/>
        <v>6.5772000000000004</v>
      </c>
      <c r="O555" s="400"/>
    </row>
    <row r="556" spans="1:15" s="109" customFormat="1" ht="15" customHeight="1">
      <c r="A556" s="376"/>
      <c r="B556" s="376"/>
      <c r="C556" s="1033" t="s">
        <v>1643</v>
      </c>
      <c r="D556" s="1033"/>
      <c r="E556" s="1033"/>
      <c r="F556" s="1033"/>
      <c r="G556" s="343" t="s">
        <v>61</v>
      </c>
      <c r="H556" s="412"/>
      <c r="I556" s="413">
        <v>0.14000000000000001</v>
      </c>
      <c r="J556" s="413">
        <v>13.649999999999999</v>
      </c>
      <c r="K556" s="413">
        <v>0.55000000000000004</v>
      </c>
      <c r="L556" s="414"/>
      <c r="M556" s="411"/>
      <c r="N556" s="400">
        <f t="shared" si="22"/>
        <v>18.837</v>
      </c>
      <c r="O556" s="400"/>
    </row>
    <row r="557" spans="1:15" s="109" customFormat="1" ht="15" customHeight="1">
      <c r="A557" s="376"/>
      <c r="B557" s="376"/>
      <c r="C557" s="1033" t="s">
        <v>1644</v>
      </c>
      <c r="D557" s="1033"/>
      <c r="E557" s="1033"/>
      <c r="F557" s="1033"/>
      <c r="G557" s="343" t="s">
        <v>61</v>
      </c>
      <c r="H557" s="412"/>
      <c r="I557" s="413">
        <v>0.14000000000000001</v>
      </c>
      <c r="J557" s="413">
        <v>7.3424999999999994</v>
      </c>
      <c r="K557" s="413">
        <v>0.4</v>
      </c>
      <c r="L557" s="414"/>
      <c r="M557" s="411"/>
      <c r="N557" s="400">
        <f t="shared" si="22"/>
        <v>7.9298999999999999</v>
      </c>
      <c r="O557" s="400"/>
    </row>
    <row r="558" spans="1:15" s="109" customFormat="1" ht="15" customHeight="1">
      <c r="A558" s="342"/>
      <c r="B558" s="342"/>
      <c r="C558" s="1033" t="s">
        <v>1645</v>
      </c>
      <c r="D558" s="1033"/>
      <c r="E558" s="1033"/>
      <c r="F558" s="1033"/>
      <c r="G558" s="343" t="s">
        <v>61</v>
      </c>
      <c r="H558" s="412"/>
      <c r="I558" s="413">
        <v>0.14000000000000001</v>
      </c>
      <c r="J558" s="413">
        <v>4.0424999999999995</v>
      </c>
      <c r="K558" s="413">
        <v>0.4</v>
      </c>
      <c r="L558" s="414"/>
      <c r="M558" s="414"/>
      <c r="N558" s="400">
        <f t="shared" si="22"/>
        <v>4.3658999999999999</v>
      </c>
      <c r="O558" s="400"/>
    </row>
    <row r="559" spans="1:15" s="109" customFormat="1" ht="15" customHeight="1">
      <c r="A559" s="342"/>
      <c r="B559" s="342"/>
      <c r="C559" s="1033" t="s">
        <v>1646</v>
      </c>
      <c r="D559" s="1033"/>
      <c r="E559" s="1033"/>
      <c r="F559" s="1033"/>
      <c r="G559" s="343" t="s">
        <v>61</v>
      </c>
      <c r="H559" s="412"/>
      <c r="I559" s="413">
        <v>0.14000000000000001</v>
      </c>
      <c r="J559" s="413">
        <v>3.84</v>
      </c>
      <c r="K559" s="413">
        <v>0.4</v>
      </c>
      <c r="L559" s="414"/>
      <c r="M559" s="414"/>
      <c r="N559" s="400">
        <f t="shared" si="22"/>
        <v>4.1471999999999998</v>
      </c>
      <c r="O559" s="400"/>
    </row>
    <row r="560" spans="1:15" s="109" customFormat="1" ht="15" customHeight="1">
      <c r="A560" s="342"/>
      <c r="B560" s="342"/>
      <c r="C560" s="1033" t="s">
        <v>1647</v>
      </c>
      <c r="D560" s="1033"/>
      <c r="E560" s="1033"/>
      <c r="F560" s="1033"/>
      <c r="G560" s="343" t="s">
        <v>61</v>
      </c>
      <c r="H560" s="412"/>
      <c r="I560" s="413">
        <v>0.14000000000000001</v>
      </c>
      <c r="J560" s="413">
        <v>5.1974999999999998</v>
      </c>
      <c r="K560" s="413">
        <v>0.4</v>
      </c>
      <c r="L560" s="414"/>
      <c r="M560" s="414"/>
      <c r="N560" s="400">
        <f t="shared" si="22"/>
        <v>5.6132999999999997</v>
      </c>
      <c r="O560" s="400"/>
    </row>
    <row r="561" spans="1:15" s="109" customFormat="1" ht="15" customHeight="1">
      <c r="A561" s="342"/>
      <c r="B561" s="342"/>
      <c r="C561" s="1033" t="s">
        <v>1648</v>
      </c>
      <c r="D561" s="1033"/>
      <c r="E561" s="1033"/>
      <c r="F561" s="1033"/>
      <c r="G561" s="343" t="s">
        <v>61</v>
      </c>
      <c r="H561" s="412"/>
      <c r="I561" s="413">
        <v>0.14000000000000001</v>
      </c>
      <c r="J561" s="413">
        <v>4.9875000000000007</v>
      </c>
      <c r="K561" s="413">
        <v>0.4</v>
      </c>
      <c r="L561" s="414"/>
      <c r="M561" s="414"/>
      <c r="N561" s="400">
        <f t="shared" si="22"/>
        <v>5.3865000000000007</v>
      </c>
      <c r="O561" s="400"/>
    </row>
    <row r="562" spans="1:15" s="109" customFormat="1" ht="15" customHeight="1">
      <c r="A562" s="342"/>
      <c r="B562" s="342"/>
      <c r="C562" s="1033" t="s">
        <v>1649</v>
      </c>
      <c r="D562" s="1033"/>
      <c r="E562" s="1033"/>
      <c r="F562" s="1033"/>
      <c r="G562" s="343" t="s">
        <v>61</v>
      </c>
      <c r="H562" s="412"/>
      <c r="I562" s="413">
        <v>0.14000000000000001</v>
      </c>
      <c r="J562" s="413">
        <v>4.125</v>
      </c>
      <c r="K562" s="413">
        <v>0.4</v>
      </c>
      <c r="L562" s="414"/>
      <c r="M562" s="414"/>
      <c r="N562" s="400">
        <f t="shared" si="22"/>
        <v>4.4550000000000001</v>
      </c>
      <c r="O562" s="400"/>
    </row>
    <row r="563" spans="1:15" s="109" customFormat="1" ht="15" customHeight="1">
      <c r="A563" s="342"/>
      <c r="B563" s="342"/>
      <c r="C563" s="1033" t="s">
        <v>1650</v>
      </c>
      <c r="D563" s="1033"/>
      <c r="E563" s="1033"/>
      <c r="F563" s="1033"/>
      <c r="G563" s="343" t="s">
        <v>61</v>
      </c>
      <c r="H563" s="412"/>
      <c r="I563" s="413">
        <v>0.14000000000000001</v>
      </c>
      <c r="J563" s="413">
        <v>5.4375</v>
      </c>
      <c r="K563" s="413">
        <v>0.35</v>
      </c>
      <c r="L563" s="414"/>
      <c r="M563" s="414"/>
      <c r="N563" s="400">
        <f t="shared" si="22"/>
        <v>5.3287500000000003</v>
      </c>
      <c r="O563" s="400"/>
    </row>
    <row r="564" spans="1:15" s="109" customFormat="1" ht="15" customHeight="1">
      <c r="A564" s="376"/>
      <c r="B564" s="376"/>
      <c r="C564" s="1033" t="s">
        <v>1651</v>
      </c>
      <c r="D564" s="1033"/>
      <c r="E564" s="1033"/>
      <c r="F564" s="1033"/>
      <c r="G564" s="343" t="s">
        <v>61</v>
      </c>
      <c r="H564" s="412"/>
      <c r="I564" s="413">
        <v>0.14000000000000001</v>
      </c>
      <c r="J564" s="413">
        <v>11.5425</v>
      </c>
      <c r="K564" s="413">
        <v>0.4</v>
      </c>
      <c r="L564" s="414"/>
      <c r="M564" s="411"/>
      <c r="N564" s="400">
        <f t="shared" si="22"/>
        <v>12.465900000000001</v>
      </c>
      <c r="O564" s="400"/>
    </row>
    <row r="565" spans="1:15" s="109" customFormat="1" ht="15" customHeight="1">
      <c r="A565" s="376"/>
      <c r="B565" s="376"/>
      <c r="C565" s="1033" t="s">
        <v>1652</v>
      </c>
      <c r="D565" s="1033"/>
      <c r="E565" s="1033"/>
      <c r="F565" s="1033"/>
      <c r="G565" s="343" t="s">
        <v>61</v>
      </c>
      <c r="H565" s="412"/>
      <c r="I565" s="413">
        <v>0.14000000000000001</v>
      </c>
      <c r="J565" s="413">
        <v>5.4375</v>
      </c>
      <c r="K565" s="413">
        <v>0.35</v>
      </c>
      <c r="L565" s="414"/>
      <c r="M565" s="411"/>
      <c r="N565" s="400">
        <f t="shared" si="22"/>
        <v>5.3287500000000003</v>
      </c>
      <c r="O565" s="400"/>
    </row>
    <row r="566" spans="1:15" s="109" customFormat="1" ht="15" customHeight="1">
      <c r="A566" s="376"/>
      <c r="B566" s="376"/>
      <c r="C566" s="1033" t="s">
        <v>1653</v>
      </c>
      <c r="D566" s="1033"/>
      <c r="E566" s="1033"/>
      <c r="F566" s="1033"/>
      <c r="G566" s="343" t="s">
        <v>61</v>
      </c>
      <c r="H566" s="412"/>
      <c r="I566" s="413">
        <v>0.2</v>
      </c>
      <c r="J566" s="413">
        <v>10.290000000000001</v>
      </c>
      <c r="K566" s="413">
        <v>0.95</v>
      </c>
      <c r="L566" s="414"/>
      <c r="M566" s="411"/>
      <c r="N566" s="400">
        <f t="shared" si="22"/>
        <v>23.667000000000002</v>
      </c>
      <c r="O566" s="400"/>
    </row>
    <row r="567" spans="1:15" s="109" customFormat="1" ht="15" customHeight="1">
      <c r="A567" s="376"/>
      <c r="B567" s="376"/>
      <c r="C567" s="1033" t="s">
        <v>1654</v>
      </c>
      <c r="D567" s="1033"/>
      <c r="E567" s="1033"/>
      <c r="F567" s="1033"/>
      <c r="G567" s="343" t="s">
        <v>61</v>
      </c>
      <c r="H567" s="412"/>
      <c r="I567" s="413">
        <v>0.14000000000000001</v>
      </c>
      <c r="J567" s="413">
        <v>5.4375</v>
      </c>
      <c r="K567" s="413">
        <v>0.35</v>
      </c>
      <c r="L567" s="414"/>
      <c r="M567" s="411"/>
      <c r="N567" s="400">
        <f t="shared" si="22"/>
        <v>5.3287500000000003</v>
      </c>
      <c r="O567" s="400"/>
    </row>
    <row r="568" spans="1:15" s="109" customFormat="1" ht="15" customHeight="1">
      <c r="A568" s="342"/>
      <c r="B568" s="342"/>
      <c r="C568" s="1033" t="s">
        <v>1655</v>
      </c>
      <c r="D568" s="1033"/>
      <c r="E568" s="1033"/>
      <c r="F568" s="1033"/>
      <c r="G568" s="343" t="s">
        <v>61</v>
      </c>
      <c r="H568" s="412"/>
      <c r="I568" s="413">
        <v>0.14000000000000001</v>
      </c>
      <c r="J568" s="413">
        <v>1.4924999999999999</v>
      </c>
      <c r="K568" s="413">
        <v>0.35</v>
      </c>
      <c r="L568" s="414"/>
      <c r="M568" s="414"/>
      <c r="N568" s="400">
        <f t="shared" si="22"/>
        <v>1.46265</v>
      </c>
      <c r="O568" s="400"/>
    </row>
    <row r="569" spans="1:15" s="109" customFormat="1" ht="15" customHeight="1">
      <c r="A569" s="342"/>
      <c r="B569" s="342"/>
      <c r="C569" s="1033" t="s">
        <v>1656</v>
      </c>
      <c r="D569" s="1033"/>
      <c r="E569" s="1033"/>
      <c r="F569" s="1033"/>
      <c r="G569" s="343" t="s">
        <v>61</v>
      </c>
      <c r="H569" s="412"/>
      <c r="I569" s="413">
        <v>0.2</v>
      </c>
      <c r="J569" s="413">
        <v>10.290000000000001</v>
      </c>
      <c r="K569" s="413">
        <v>0.95</v>
      </c>
      <c r="L569" s="414"/>
      <c r="M569" s="414"/>
      <c r="N569" s="400">
        <f t="shared" si="22"/>
        <v>23.667000000000002</v>
      </c>
      <c r="O569" s="400"/>
    </row>
    <row r="570" spans="1:15" s="109" customFormat="1" ht="15" customHeight="1">
      <c r="A570" s="342"/>
      <c r="B570" s="342"/>
      <c r="C570" s="1033" t="s">
        <v>1657</v>
      </c>
      <c r="D570" s="1033"/>
      <c r="E570" s="1033"/>
      <c r="F570" s="1033"/>
      <c r="G570" s="343" t="s">
        <v>61</v>
      </c>
      <c r="H570" s="412"/>
      <c r="I570" s="413">
        <v>0.14000000000000001</v>
      </c>
      <c r="J570" s="413">
        <v>5.4375</v>
      </c>
      <c r="K570" s="413">
        <v>0.35</v>
      </c>
      <c r="L570" s="414"/>
      <c r="M570" s="414"/>
      <c r="N570" s="400">
        <f t="shared" si="22"/>
        <v>5.3287500000000003</v>
      </c>
      <c r="O570" s="400"/>
    </row>
    <row r="571" spans="1:15" s="109" customFormat="1" ht="15" customHeight="1">
      <c r="A571" s="342"/>
      <c r="B571" s="342"/>
      <c r="C571" s="1033" t="s">
        <v>1658</v>
      </c>
      <c r="D571" s="1033"/>
      <c r="E571" s="1033"/>
      <c r="F571" s="1033"/>
      <c r="G571" s="343" t="s">
        <v>61</v>
      </c>
      <c r="H571" s="412"/>
      <c r="I571" s="413">
        <v>0.2</v>
      </c>
      <c r="J571" s="413">
        <v>10.290000000000001</v>
      </c>
      <c r="K571" s="413">
        <v>0.95</v>
      </c>
      <c r="L571" s="414"/>
      <c r="M571" s="414"/>
      <c r="N571" s="400">
        <f t="shared" si="22"/>
        <v>23.667000000000002</v>
      </c>
      <c r="O571" s="400"/>
    </row>
    <row r="572" spans="1:15" s="109" customFormat="1" ht="15" customHeight="1">
      <c r="A572" s="342"/>
      <c r="B572" s="342"/>
      <c r="C572" s="1033" t="s">
        <v>1659</v>
      </c>
      <c r="D572" s="1033"/>
      <c r="E572" s="1033"/>
      <c r="F572" s="1033"/>
      <c r="G572" s="343" t="s">
        <v>61</v>
      </c>
      <c r="H572" s="412"/>
      <c r="I572" s="413">
        <v>0.14000000000000001</v>
      </c>
      <c r="J572" s="413">
        <v>1.4924999999999999</v>
      </c>
      <c r="K572" s="413">
        <v>0.35</v>
      </c>
      <c r="L572" s="414"/>
      <c r="M572" s="414"/>
      <c r="N572" s="400">
        <f t="shared" si="22"/>
        <v>1.46265</v>
      </c>
      <c r="O572" s="400"/>
    </row>
    <row r="573" spans="1:15" s="109" customFormat="1" ht="15" customHeight="1">
      <c r="A573" s="342"/>
      <c r="B573" s="342"/>
      <c r="C573" s="1033" t="s">
        <v>1660</v>
      </c>
      <c r="D573" s="1033"/>
      <c r="E573" s="1033"/>
      <c r="F573" s="1033"/>
      <c r="G573" s="343" t="s">
        <v>61</v>
      </c>
      <c r="H573" s="412"/>
      <c r="I573" s="413">
        <v>0.14000000000000001</v>
      </c>
      <c r="J573" s="413">
        <v>5.4375</v>
      </c>
      <c r="K573" s="413">
        <v>0.35</v>
      </c>
      <c r="L573" s="414"/>
      <c r="M573" s="414"/>
      <c r="N573" s="400">
        <f t="shared" si="22"/>
        <v>5.3287500000000003</v>
      </c>
      <c r="O573" s="400"/>
    </row>
    <row r="574" spans="1:15" s="109" customFormat="1" ht="15" customHeight="1">
      <c r="A574" s="376"/>
      <c r="B574" s="376"/>
      <c r="C574" s="1033" t="s">
        <v>1661</v>
      </c>
      <c r="D574" s="1033"/>
      <c r="E574" s="1033"/>
      <c r="F574" s="1033"/>
      <c r="G574" s="343" t="s">
        <v>61</v>
      </c>
      <c r="H574" s="412"/>
      <c r="I574" s="413">
        <v>0.14000000000000001</v>
      </c>
      <c r="J574" s="413">
        <v>10.290000000000001</v>
      </c>
      <c r="K574" s="413">
        <v>0.4</v>
      </c>
      <c r="L574" s="414"/>
      <c r="M574" s="411"/>
      <c r="N574" s="400">
        <f t="shared" si="22"/>
        <v>11.113200000000001</v>
      </c>
      <c r="O574" s="400"/>
    </row>
    <row r="575" spans="1:15" s="109" customFormat="1" ht="15" customHeight="1">
      <c r="A575" s="376"/>
      <c r="B575" s="376"/>
      <c r="C575" s="1033" t="s">
        <v>1662</v>
      </c>
      <c r="D575" s="1033"/>
      <c r="E575" s="1033"/>
      <c r="F575" s="1033"/>
      <c r="G575" s="343" t="s">
        <v>61</v>
      </c>
      <c r="H575" s="412"/>
      <c r="I575" s="413">
        <v>0.14000000000000001</v>
      </c>
      <c r="J575" s="413">
        <v>8.0325000000000006</v>
      </c>
      <c r="K575" s="413">
        <v>0.8</v>
      </c>
      <c r="L575" s="414"/>
      <c r="M575" s="411"/>
      <c r="N575" s="400">
        <f t="shared" si="22"/>
        <v>15.101100000000002</v>
      </c>
      <c r="O575" s="400"/>
    </row>
    <row r="576" spans="1:15" s="109" customFormat="1" ht="15" customHeight="1">
      <c r="A576" s="376"/>
      <c r="B576" s="376"/>
      <c r="C576" s="1033" t="s">
        <v>1663</v>
      </c>
      <c r="D576" s="1033"/>
      <c r="E576" s="1033"/>
      <c r="F576" s="1033"/>
      <c r="G576" s="343" t="s">
        <v>61</v>
      </c>
      <c r="H576" s="412"/>
      <c r="I576" s="413">
        <v>0.14000000000000001</v>
      </c>
      <c r="J576" s="413">
        <v>6.09</v>
      </c>
      <c r="K576" s="413">
        <v>0.45</v>
      </c>
      <c r="L576" s="414"/>
      <c r="M576" s="411"/>
      <c r="N576" s="400">
        <f t="shared" si="22"/>
        <v>7.1862000000000004</v>
      </c>
      <c r="O576" s="400"/>
    </row>
    <row r="577" spans="1:15" s="109" customFormat="1" ht="15" customHeight="1">
      <c r="A577" s="376"/>
      <c r="B577" s="376"/>
      <c r="C577" s="1033" t="s">
        <v>1664</v>
      </c>
      <c r="D577" s="1033"/>
      <c r="E577" s="1033"/>
      <c r="F577" s="1033"/>
      <c r="G577" s="343" t="s">
        <v>61</v>
      </c>
      <c r="H577" s="412"/>
      <c r="I577" s="413">
        <v>0.14000000000000001</v>
      </c>
      <c r="J577" s="413">
        <v>2.9925000000000002</v>
      </c>
      <c r="K577" s="413">
        <v>0.4</v>
      </c>
      <c r="L577" s="414"/>
      <c r="M577" s="411"/>
      <c r="N577" s="400">
        <f t="shared" si="22"/>
        <v>3.2319000000000004</v>
      </c>
      <c r="O577" s="400"/>
    </row>
    <row r="578" spans="1:15" s="109" customFormat="1" ht="15" customHeight="1">
      <c r="A578" s="342"/>
      <c r="B578" s="342"/>
      <c r="C578" s="1033" t="s">
        <v>1665</v>
      </c>
      <c r="D578" s="1033"/>
      <c r="E578" s="1033"/>
      <c r="F578" s="1033"/>
      <c r="G578" s="343" t="s">
        <v>61</v>
      </c>
      <c r="H578" s="412"/>
      <c r="I578" s="413">
        <v>0.14000000000000001</v>
      </c>
      <c r="J578" s="413">
        <v>8.31</v>
      </c>
      <c r="K578" s="413">
        <v>0.45</v>
      </c>
      <c r="L578" s="414"/>
      <c r="M578" s="414"/>
      <c r="N578" s="400">
        <f t="shared" si="22"/>
        <v>9.8058000000000014</v>
      </c>
      <c r="O578" s="400"/>
    </row>
    <row r="579" spans="1:15" s="109" customFormat="1" ht="15" customHeight="1">
      <c r="A579" s="342"/>
      <c r="B579" s="342"/>
      <c r="C579" s="1033" t="s">
        <v>1666</v>
      </c>
      <c r="D579" s="1033"/>
      <c r="E579" s="1033"/>
      <c r="F579" s="1033"/>
      <c r="G579" s="343" t="s">
        <v>61</v>
      </c>
      <c r="H579" s="412"/>
      <c r="I579" s="413">
        <v>0.14000000000000001</v>
      </c>
      <c r="J579" s="413">
        <v>6.09</v>
      </c>
      <c r="K579" s="413">
        <v>0.45</v>
      </c>
      <c r="L579" s="414"/>
      <c r="M579" s="414"/>
      <c r="N579" s="400">
        <f t="shared" si="22"/>
        <v>7.1862000000000004</v>
      </c>
      <c r="O579" s="400"/>
    </row>
    <row r="580" spans="1:15" s="109" customFormat="1" ht="15" customHeight="1">
      <c r="A580" s="342"/>
      <c r="B580" s="342"/>
      <c r="C580" s="1033" t="s">
        <v>1667</v>
      </c>
      <c r="D580" s="1033"/>
      <c r="E580" s="1033"/>
      <c r="F580" s="1033"/>
      <c r="G580" s="343" t="s">
        <v>61</v>
      </c>
      <c r="H580" s="412"/>
      <c r="I580" s="413">
        <v>0.14000000000000001</v>
      </c>
      <c r="J580" s="413">
        <v>6.09</v>
      </c>
      <c r="K580" s="413">
        <v>0.45</v>
      </c>
      <c r="L580" s="414"/>
      <c r="M580" s="414"/>
      <c r="N580" s="400">
        <f t="shared" si="22"/>
        <v>7.1862000000000004</v>
      </c>
      <c r="O580" s="400"/>
    </row>
    <row r="581" spans="1:15" s="109" customFormat="1" ht="15" customHeight="1">
      <c r="A581" s="342"/>
      <c r="B581" s="342"/>
      <c r="C581" s="1033" t="s">
        <v>1668</v>
      </c>
      <c r="D581" s="1033"/>
      <c r="E581" s="1033"/>
      <c r="F581" s="1033"/>
      <c r="G581" s="343" t="s">
        <v>61</v>
      </c>
      <c r="H581" s="412"/>
      <c r="I581" s="413">
        <v>0.14000000000000001</v>
      </c>
      <c r="J581" s="413">
        <v>11.58</v>
      </c>
      <c r="K581" s="413">
        <v>0.45</v>
      </c>
      <c r="L581" s="414"/>
      <c r="M581" s="414"/>
      <c r="N581" s="400">
        <f t="shared" si="22"/>
        <v>13.664400000000002</v>
      </c>
      <c r="O581" s="400"/>
    </row>
    <row r="582" spans="1:15" s="109" customFormat="1" ht="15" customHeight="1">
      <c r="A582" s="342"/>
      <c r="B582" s="342"/>
      <c r="C582" s="1033" t="s">
        <v>1669</v>
      </c>
      <c r="D582" s="1033"/>
      <c r="E582" s="1033"/>
      <c r="F582" s="1033"/>
      <c r="G582" s="343" t="s">
        <v>61</v>
      </c>
      <c r="H582" s="412"/>
      <c r="I582" s="413">
        <v>0.14000000000000001</v>
      </c>
      <c r="J582" s="413">
        <v>4.3425000000000002</v>
      </c>
      <c r="K582" s="413">
        <v>0.4</v>
      </c>
      <c r="L582" s="414"/>
      <c r="M582" s="414"/>
      <c r="N582" s="400">
        <f t="shared" si="22"/>
        <v>4.6899000000000006</v>
      </c>
      <c r="O582" s="400"/>
    </row>
    <row r="583" spans="1:15" s="109" customFormat="1" ht="15" customHeight="1">
      <c r="A583" s="342"/>
      <c r="B583" s="342"/>
      <c r="C583" s="1033" t="s">
        <v>1670</v>
      </c>
      <c r="D583" s="1033"/>
      <c r="E583" s="1033"/>
      <c r="F583" s="1033"/>
      <c r="G583" s="343" t="s">
        <v>61</v>
      </c>
      <c r="H583" s="412"/>
      <c r="I583" s="413">
        <v>0.14000000000000001</v>
      </c>
      <c r="J583" s="413">
        <v>5.13</v>
      </c>
      <c r="K583" s="413">
        <v>0.45</v>
      </c>
      <c r="L583" s="414"/>
      <c r="M583" s="414"/>
      <c r="N583" s="400">
        <f t="shared" si="22"/>
        <v>6.0534000000000008</v>
      </c>
      <c r="O583" s="400"/>
    </row>
    <row r="584" spans="1:15" s="109" customFormat="1" ht="15" customHeight="1">
      <c r="A584" s="342"/>
      <c r="B584" s="342"/>
      <c r="C584" s="1033" t="s">
        <v>1671</v>
      </c>
      <c r="D584" s="1033"/>
      <c r="E584" s="1033"/>
      <c r="F584" s="1033"/>
      <c r="G584" s="343" t="s">
        <v>61</v>
      </c>
      <c r="H584" s="412"/>
      <c r="I584" s="413">
        <v>0.14000000000000001</v>
      </c>
      <c r="J584" s="413">
        <v>5.13</v>
      </c>
      <c r="K584" s="413">
        <v>0.45</v>
      </c>
      <c r="L584" s="414"/>
      <c r="M584" s="414"/>
      <c r="N584" s="400">
        <f t="shared" si="22"/>
        <v>6.0534000000000008</v>
      </c>
      <c r="O584" s="400"/>
    </row>
    <row r="585" spans="1:15" s="109" customFormat="1" ht="15" customHeight="1">
      <c r="A585" s="342"/>
      <c r="B585" s="342"/>
      <c r="C585" s="1033" t="s">
        <v>1672</v>
      </c>
      <c r="D585" s="1033"/>
      <c r="E585" s="1033"/>
      <c r="F585" s="1033"/>
      <c r="G585" s="343" t="s">
        <v>61</v>
      </c>
      <c r="H585" s="412"/>
      <c r="I585" s="413">
        <v>0.14000000000000001</v>
      </c>
      <c r="J585" s="413">
        <v>9.5024999999999995</v>
      </c>
      <c r="K585" s="413">
        <v>0.45</v>
      </c>
      <c r="L585" s="414"/>
      <c r="M585" s="414"/>
      <c r="N585" s="400">
        <f t="shared" si="22"/>
        <v>11.212950000000001</v>
      </c>
      <c r="O585" s="400"/>
    </row>
    <row r="586" spans="1:15" s="109" customFormat="1" ht="15" customHeight="1">
      <c r="A586" s="342"/>
      <c r="B586" s="342"/>
      <c r="C586" s="1033" t="s">
        <v>1673</v>
      </c>
      <c r="D586" s="1033"/>
      <c r="E586" s="1033"/>
      <c r="F586" s="1033"/>
      <c r="G586" s="343" t="s">
        <v>61</v>
      </c>
      <c r="H586" s="412"/>
      <c r="I586" s="413">
        <v>0.14000000000000001</v>
      </c>
      <c r="J586" s="413">
        <v>9.5024999999999995</v>
      </c>
      <c r="K586" s="413">
        <v>0.45</v>
      </c>
      <c r="L586" s="414"/>
      <c r="M586" s="414"/>
      <c r="N586" s="400">
        <f t="shared" si="22"/>
        <v>11.212950000000001</v>
      </c>
      <c r="O586" s="400"/>
    </row>
    <row r="587" spans="1:15" s="109" customFormat="1" ht="15" customHeight="1">
      <c r="A587" s="376"/>
      <c r="B587" s="376"/>
      <c r="C587" s="1033" t="s">
        <v>1674</v>
      </c>
      <c r="D587" s="1033"/>
      <c r="E587" s="1033"/>
      <c r="F587" s="1033"/>
      <c r="G587" s="343" t="s">
        <v>61</v>
      </c>
      <c r="H587" s="412"/>
      <c r="I587" s="413">
        <v>0.14000000000000001</v>
      </c>
      <c r="J587" s="413">
        <v>4.5075000000000003</v>
      </c>
      <c r="K587" s="413">
        <v>0.45</v>
      </c>
      <c r="L587" s="414"/>
      <c r="M587" s="411"/>
      <c r="N587" s="400">
        <f t="shared" si="22"/>
        <v>5.3188500000000012</v>
      </c>
      <c r="O587" s="400"/>
    </row>
    <row r="588" spans="1:15" s="109" customFormat="1" ht="15" customHeight="1">
      <c r="A588" s="376"/>
      <c r="B588" s="376"/>
      <c r="C588" s="1033" t="s">
        <v>1675</v>
      </c>
      <c r="D588" s="1033"/>
      <c r="E588" s="1033"/>
      <c r="F588" s="1033"/>
      <c r="G588" s="343" t="s">
        <v>61</v>
      </c>
      <c r="H588" s="412"/>
      <c r="I588" s="413">
        <v>0.14000000000000001</v>
      </c>
      <c r="J588" s="413">
        <v>4.5075000000000003</v>
      </c>
      <c r="K588" s="413">
        <v>0.45</v>
      </c>
      <c r="L588" s="414"/>
      <c r="M588" s="411"/>
      <c r="N588" s="400">
        <f t="shared" si="22"/>
        <v>5.3188500000000012</v>
      </c>
      <c r="O588" s="400"/>
    </row>
    <row r="589" spans="1:15" s="109" customFormat="1" ht="15" customHeight="1">
      <c r="A589" s="376"/>
      <c r="B589" s="376"/>
      <c r="C589" s="1033" t="s">
        <v>1676</v>
      </c>
      <c r="D589" s="1033"/>
      <c r="E589" s="1033"/>
      <c r="F589" s="1033"/>
      <c r="G589" s="343" t="s">
        <v>61</v>
      </c>
      <c r="H589" s="412"/>
      <c r="I589" s="413">
        <v>0.14000000000000001</v>
      </c>
      <c r="J589" s="413">
        <v>7.5824999999999996</v>
      </c>
      <c r="K589" s="413">
        <v>0.45</v>
      </c>
      <c r="L589" s="414"/>
      <c r="M589" s="411"/>
      <c r="N589" s="400">
        <f t="shared" si="22"/>
        <v>8.9473500000000001</v>
      </c>
      <c r="O589" s="400"/>
    </row>
    <row r="590" spans="1:15" s="109" customFormat="1" ht="15" customHeight="1">
      <c r="A590" s="376"/>
      <c r="B590" s="376"/>
      <c r="C590" s="1033" t="s">
        <v>1677</v>
      </c>
      <c r="D590" s="1033"/>
      <c r="E590" s="1033"/>
      <c r="F590" s="1033"/>
      <c r="G590" s="343" t="s">
        <v>61</v>
      </c>
      <c r="H590" s="412"/>
      <c r="I590" s="413">
        <v>0.14000000000000001</v>
      </c>
      <c r="J590" s="413">
        <v>17.670000000000002</v>
      </c>
      <c r="K590" s="413">
        <v>0.45</v>
      </c>
      <c r="L590" s="414"/>
      <c r="M590" s="411"/>
      <c r="N590" s="400">
        <f t="shared" si="22"/>
        <v>20.850600000000004</v>
      </c>
      <c r="O590" s="400"/>
    </row>
    <row r="591" spans="1:15" s="109" customFormat="1" ht="15" customHeight="1">
      <c r="A591" s="342"/>
      <c r="B591" s="342"/>
      <c r="C591" s="1093" t="s">
        <v>1678</v>
      </c>
      <c r="D591" s="1093"/>
      <c r="E591" s="1093"/>
      <c r="F591" s="1093"/>
      <c r="G591" s="343"/>
      <c r="H591" s="412"/>
      <c r="I591" s="413"/>
      <c r="J591" s="413"/>
      <c r="K591" s="413"/>
      <c r="L591" s="414"/>
      <c r="M591" s="414"/>
      <c r="N591" s="400"/>
      <c r="O591" s="400"/>
    </row>
    <row r="592" spans="1:15" s="109" customFormat="1" ht="15" customHeight="1">
      <c r="A592" s="342"/>
      <c r="B592" s="342"/>
      <c r="C592" s="1033" t="s">
        <v>1679</v>
      </c>
      <c r="D592" s="1033"/>
      <c r="E592" s="1033"/>
      <c r="F592" s="1033"/>
      <c r="G592" s="343" t="s">
        <v>61</v>
      </c>
      <c r="H592" s="412"/>
      <c r="I592" s="413">
        <v>0.14000000000000001</v>
      </c>
      <c r="J592" s="413">
        <v>18.149999999999999</v>
      </c>
      <c r="K592" s="413">
        <v>0.45</v>
      </c>
      <c r="L592" s="414"/>
      <c r="M592" s="414"/>
      <c r="N592" s="400">
        <f t="shared" si="22"/>
        <v>21.417000000000002</v>
      </c>
      <c r="O592" s="400"/>
    </row>
    <row r="593" spans="1:15" s="109" customFormat="1" ht="15" customHeight="1">
      <c r="A593" s="342"/>
      <c r="B593" s="342"/>
      <c r="C593" s="1033" t="s">
        <v>1680</v>
      </c>
      <c r="D593" s="1033"/>
      <c r="E593" s="1033"/>
      <c r="F593" s="1033"/>
      <c r="G593" s="343" t="s">
        <v>61</v>
      </c>
      <c r="H593" s="412"/>
      <c r="I593" s="413">
        <v>0.7</v>
      </c>
      <c r="J593" s="413">
        <v>10.64</v>
      </c>
      <c r="K593" s="413">
        <v>0.5</v>
      </c>
      <c r="L593" s="414"/>
      <c r="M593" s="414"/>
      <c r="N593" s="400">
        <f t="shared" si="22"/>
        <v>25.536000000000001</v>
      </c>
      <c r="O593" s="400"/>
    </row>
    <row r="594" spans="1:15" s="109" customFormat="1" ht="15" customHeight="1">
      <c r="A594" s="342"/>
      <c r="B594" s="342"/>
      <c r="C594" s="1033" t="s">
        <v>1681</v>
      </c>
      <c r="D594" s="1033"/>
      <c r="E594" s="1033"/>
      <c r="F594" s="1033"/>
      <c r="G594" s="343" t="s">
        <v>61</v>
      </c>
      <c r="H594" s="412"/>
      <c r="I594" s="413">
        <v>0.14000000000000001</v>
      </c>
      <c r="J594" s="413">
        <v>3.14</v>
      </c>
      <c r="K594" s="413">
        <v>0.35</v>
      </c>
      <c r="L594" s="414"/>
      <c r="M594" s="414"/>
      <c r="N594" s="400">
        <f t="shared" si="22"/>
        <v>3.0771999999999999</v>
      </c>
      <c r="O594" s="400"/>
    </row>
    <row r="595" spans="1:15" s="109" customFormat="1" ht="15" customHeight="1">
      <c r="A595" s="342"/>
      <c r="B595" s="342"/>
      <c r="C595" s="1033" t="s">
        <v>1682</v>
      </c>
      <c r="D595" s="1033"/>
      <c r="E595" s="1033"/>
      <c r="F595" s="1033"/>
      <c r="G595" s="343" t="s">
        <v>61</v>
      </c>
      <c r="H595" s="412"/>
      <c r="I595" s="413">
        <v>0.14000000000000001</v>
      </c>
      <c r="J595" s="413">
        <v>12.99</v>
      </c>
      <c r="K595" s="413">
        <v>0.55000000000000004</v>
      </c>
      <c r="L595" s="414"/>
      <c r="M595" s="414"/>
      <c r="N595" s="400">
        <f t="shared" si="22"/>
        <v>17.926200000000001</v>
      </c>
      <c r="O595" s="400"/>
    </row>
    <row r="596" spans="1:15" s="109" customFormat="1" ht="15" customHeight="1">
      <c r="A596" s="342"/>
      <c r="B596" s="342"/>
      <c r="C596" s="1033" t="s">
        <v>1683</v>
      </c>
      <c r="D596" s="1033"/>
      <c r="E596" s="1033"/>
      <c r="F596" s="1033"/>
      <c r="G596" s="343" t="s">
        <v>61</v>
      </c>
      <c r="H596" s="412"/>
      <c r="I596" s="413">
        <v>0.14000000000000001</v>
      </c>
      <c r="J596" s="413">
        <v>3.14</v>
      </c>
      <c r="K596" s="413">
        <v>0.35</v>
      </c>
      <c r="L596" s="414"/>
      <c r="M596" s="414"/>
      <c r="N596" s="400">
        <f t="shared" ref="N596:N625" si="23">((I596+K596)*2)*J596</f>
        <v>3.0771999999999999</v>
      </c>
      <c r="O596" s="400"/>
    </row>
    <row r="597" spans="1:15" s="109" customFormat="1" ht="14.45" customHeight="1">
      <c r="A597" s="342"/>
      <c r="B597" s="342"/>
      <c r="C597" s="1033" t="s">
        <v>1684</v>
      </c>
      <c r="D597" s="1033"/>
      <c r="E597" s="1033"/>
      <c r="F597" s="1033"/>
      <c r="G597" s="343" t="s">
        <v>61</v>
      </c>
      <c r="H597" s="412"/>
      <c r="I597" s="413">
        <v>0.7</v>
      </c>
      <c r="J597" s="413">
        <v>8.86</v>
      </c>
      <c r="K597" s="413">
        <v>0.5</v>
      </c>
      <c r="L597" s="414"/>
      <c r="M597" s="414"/>
      <c r="N597" s="400">
        <f t="shared" si="23"/>
        <v>21.263999999999999</v>
      </c>
      <c r="O597" s="400"/>
    </row>
    <row r="598" spans="1:15" s="109" customFormat="1" ht="15" customHeight="1">
      <c r="A598" s="342"/>
      <c r="B598" s="342"/>
      <c r="C598" s="1033" t="s">
        <v>1685</v>
      </c>
      <c r="D598" s="1033"/>
      <c r="E598" s="1033"/>
      <c r="F598" s="1033"/>
      <c r="G598" s="343" t="s">
        <v>61</v>
      </c>
      <c r="H598" s="412"/>
      <c r="I598" s="413">
        <v>0.14000000000000001</v>
      </c>
      <c r="J598" s="413">
        <v>3.14</v>
      </c>
      <c r="K598" s="413">
        <v>0.35</v>
      </c>
      <c r="L598" s="414"/>
      <c r="M598" s="414"/>
      <c r="N598" s="400">
        <f t="shared" si="23"/>
        <v>3.0771999999999999</v>
      </c>
      <c r="O598" s="400"/>
    </row>
    <row r="599" spans="1:15" s="109" customFormat="1" ht="15" customHeight="1">
      <c r="A599" s="342"/>
      <c r="B599" s="342"/>
      <c r="C599" s="1033" t="s">
        <v>1686</v>
      </c>
      <c r="D599" s="1033"/>
      <c r="E599" s="1033"/>
      <c r="F599" s="1033"/>
      <c r="G599" s="343" t="s">
        <v>61</v>
      </c>
      <c r="H599" s="412"/>
      <c r="I599" s="413">
        <v>0.14000000000000001</v>
      </c>
      <c r="J599" s="413">
        <v>3.14</v>
      </c>
      <c r="K599" s="413">
        <v>0.35</v>
      </c>
      <c r="L599" s="414"/>
      <c r="M599" s="414"/>
      <c r="N599" s="400">
        <f t="shared" si="23"/>
        <v>3.0771999999999999</v>
      </c>
      <c r="O599" s="400"/>
    </row>
    <row r="600" spans="1:15" s="109" customFormat="1" ht="15" customHeight="1">
      <c r="A600" s="342"/>
      <c r="B600" s="342"/>
      <c r="C600" s="1033" t="s">
        <v>1687</v>
      </c>
      <c r="D600" s="1033"/>
      <c r="E600" s="1033"/>
      <c r="F600" s="1033"/>
      <c r="G600" s="343" t="s">
        <v>61</v>
      </c>
      <c r="H600" s="412"/>
      <c r="I600" s="413">
        <v>0.7</v>
      </c>
      <c r="J600" s="413">
        <v>8.25</v>
      </c>
      <c r="K600" s="413">
        <v>0.5</v>
      </c>
      <c r="L600" s="414"/>
      <c r="M600" s="414"/>
      <c r="N600" s="400">
        <f t="shared" si="23"/>
        <v>19.8</v>
      </c>
      <c r="O600" s="400"/>
    </row>
    <row r="601" spans="1:15" s="109" customFormat="1" ht="15" customHeight="1">
      <c r="A601" s="342"/>
      <c r="B601" s="342"/>
      <c r="C601" s="1033" t="s">
        <v>1688</v>
      </c>
      <c r="D601" s="1033"/>
      <c r="E601" s="1033"/>
      <c r="F601" s="1033"/>
      <c r="G601" s="343" t="s">
        <v>61</v>
      </c>
      <c r="H601" s="412"/>
      <c r="I601" s="413">
        <v>0.14000000000000001</v>
      </c>
      <c r="J601" s="413">
        <v>15.14</v>
      </c>
      <c r="K601" s="413">
        <v>0.55000000000000004</v>
      </c>
      <c r="L601" s="414"/>
      <c r="M601" s="414"/>
      <c r="N601" s="400">
        <f t="shared" si="23"/>
        <v>20.893200000000004</v>
      </c>
      <c r="O601" s="400"/>
    </row>
    <row r="602" spans="1:15" s="109" customFormat="1" ht="15" customHeight="1">
      <c r="A602" s="342"/>
      <c r="B602" s="342"/>
      <c r="C602" s="1033" t="s">
        <v>1689</v>
      </c>
      <c r="D602" s="1033"/>
      <c r="E602" s="1033"/>
      <c r="F602" s="1033"/>
      <c r="G602" s="343" t="s">
        <v>61</v>
      </c>
      <c r="H602" s="412"/>
      <c r="I602" s="413">
        <v>0.14000000000000001</v>
      </c>
      <c r="J602" s="413">
        <v>6.19</v>
      </c>
      <c r="K602" s="413">
        <v>0.35</v>
      </c>
      <c r="L602" s="414"/>
      <c r="M602" s="414"/>
      <c r="N602" s="400">
        <f t="shared" si="23"/>
        <v>6.0662000000000003</v>
      </c>
      <c r="O602" s="400"/>
    </row>
    <row r="603" spans="1:15" s="109" customFormat="1" ht="15" customHeight="1">
      <c r="A603" s="342"/>
      <c r="B603" s="342"/>
      <c r="C603" s="1033" t="s">
        <v>1690</v>
      </c>
      <c r="D603" s="1033"/>
      <c r="E603" s="1033"/>
      <c r="F603" s="1033"/>
      <c r="G603" s="343" t="s">
        <v>61</v>
      </c>
      <c r="H603" s="412"/>
      <c r="I603" s="413">
        <v>0.14000000000000001</v>
      </c>
      <c r="J603" s="413">
        <v>6.04</v>
      </c>
      <c r="K603" s="413">
        <v>0.35</v>
      </c>
      <c r="L603" s="414"/>
      <c r="M603" s="414"/>
      <c r="N603" s="400">
        <f t="shared" si="23"/>
        <v>5.9192</v>
      </c>
      <c r="O603" s="400"/>
    </row>
    <row r="604" spans="1:15" s="109" customFormat="1" ht="15" customHeight="1">
      <c r="A604" s="342"/>
      <c r="B604" s="342"/>
      <c r="C604" s="1033" t="s">
        <v>1691</v>
      </c>
      <c r="D604" s="1033"/>
      <c r="E604" s="1033"/>
      <c r="F604" s="1033"/>
      <c r="G604" s="343" t="s">
        <v>61</v>
      </c>
      <c r="H604" s="412"/>
      <c r="I604" s="413">
        <v>0.12</v>
      </c>
      <c r="J604" s="413">
        <v>18.86</v>
      </c>
      <c r="K604" s="413">
        <v>0.6</v>
      </c>
      <c r="L604" s="414"/>
      <c r="M604" s="414"/>
      <c r="N604" s="400">
        <f t="shared" si="23"/>
        <v>27.158399999999997</v>
      </c>
      <c r="O604" s="400"/>
    </row>
    <row r="605" spans="1:15" s="109" customFormat="1" ht="15" customHeight="1">
      <c r="A605" s="342"/>
      <c r="B605" s="342"/>
      <c r="C605" s="1033" t="s">
        <v>1692</v>
      </c>
      <c r="D605" s="1033"/>
      <c r="E605" s="1033"/>
      <c r="F605" s="1033"/>
      <c r="G605" s="343" t="s">
        <v>61</v>
      </c>
      <c r="H605" s="412"/>
      <c r="I605" s="413">
        <v>0.19</v>
      </c>
      <c r="J605" s="413">
        <v>3.76</v>
      </c>
      <c r="K605" s="413">
        <v>0.6</v>
      </c>
      <c r="L605" s="414"/>
      <c r="M605" s="414"/>
      <c r="N605" s="400">
        <f t="shared" si="23"/>
        <v>5.9408000000000003</v>
      </c>
      <c r="O605" s="400"/>
    </row>
    <row r="606" spans="1:15" s="109" customFormat="1" ht="15" customHeight="1">
      <c r="A606" s="342"/>
      <c r="B606" s="342"/>
      <c r="C606" s="1033" t="s">
        <v>1693</v>
      </c>
      <c r="D606" s="1033"/>
      <c r="E606" s="1033"/>
      <c r="F606" s="1033"/>
      <c r="G606" s="343" t="s">
        <v>61</v>
      </c>
      <c r="H606" s="412"/>
      <c r="I606" s="413">
        <v>0.7</v>
      </c>
      <c r="J606" s="413">
        <v>16.43</v>
      </c>
      <c r="K606" s="413">
        <v>0.5</v>
      </c>
      <c r="L606" s="414"/>
      <c r="M606" s="414"/>
      <c r="N606" s="400">
        <f t="shared" si="23"/>
        <v>39.431999999999995</v>
      </c>
      <c r="O606" s="400"/>
    </row>
    <row r="607" spans="1:15" s="109" customFormat="1" ht="15" customHeight="1">
      <c r="A607" s="342"/>
      <c r="B607" s="342"/>
      <c r="C607" s="1033" t="s">
        <v>1694</v>
      </c>
      <c r="D607" s="1033"/>
      <c r="E607" s="1033"/>
      <c r="F607" s="1033"/>
      <c r="G607" s="343" t="s">
        <v>61</v>
      </c>
      <c r="H607" s="412"/>
      <c r="I607" s="413">
        <v>0.19</v>
      </c>
      <c r="J607" s="413">
        <v>3.76</v>
      </c>
      <c r="K607" s="413">
        <v>0.6</v>
      </c>
      <c r="L607" s="414"/>
      <c r="M607" s="414"/>
      <c r="N607" s="400">
        <f t="shared" si="23"/>
        <v>5.9408000000000003</v>
      </c>
      <c r="O607" s="400"/>
    </row>
    <row r="608" spans="1:15" s="109" customFormat="1" ht="15" customHeight="1">
      <c r="A608" s="342"/>
      <c r="B608" s="342"/>
      <c r="C608" s="1033" t="s">
        <v>1695</v>
      </c>
      <c r="D608" s="1033"/>
      <c r="E608" s="1033"/>
      <c r="F608" s="1033"/>
      <c r="G608" s="343" t="s">
        <v>61</v>
      </c>
      <c r="H608" s="412"/>
      <c r="I608" s="413">
        <v>0.14000000000000001</v>
      </c>
      <c r="J608" s="413">
        <v>12.3</v>
      </c>
      <c r="K608" s="413">
        <v>0.7</v>
      </c>
      <c r="L608" s="414"/>
      <c r="M608" s="414"/>
      <c r="N608" s="400">
        <f t="shared" si="23"/>
        <v>20.664000000000001</v>
      </c>
      <c r="O608" s="400"/>
    </row>
    <row r="609" spans="1:15" s="109" customFormat="1" ht="15" customHeight="1">
      <c r="A609" s="342"/>
      <c r="B609" s="342"/>
      <c r="C609" s="1033" t="s">
        <v>1696</v>
      </c>
      <c r="D609" s="1033"/>
      <c r="E609" s="1033"/>
      <c r="F609" s="1033"/>
      <c r="G609" s="343" t="s">
        <v>61</v>
      </c>
      <c r="H609" s="412"/>
      <c r="I609" s="413">
        <v>0.14000000000000001</v>
      </c>
      <c r="J609" s="413">
        <v>2.54</v>
      </c>
      <c r="K609" s="413">
        <v>0.35</v>
      </c>
      <c r="L609" s="414"/>
      <c r="M609" s="414"/>
      <c r="N609" s="400">
        <f t="shared" si="23"/>
        <v>2.4891999999999999</v>
      </c>
      <c r="O609" s="400"/>
    </row>
    <row r="610" spans="1:15" s="109" customFormat="1" ht="15" customHeight="1">
      <c r="A610" s="342"/>
      <c r="B610" s="342"/>
      <c r="C610" s="1033" t="s">
        <v>1697</v>
      </c>
      <c r="D610" s="1033"/>
      <c r="E610" s="1033"/>
      <c r="F610" s="1033"/>
      <c r="G610" s="343" t="s">
        <v>61</v>
      </c>
      <c r="H610" s="412"/>
      <c r="I610" s="413">
        <v>0.14000000000000001</v>
      </c>
      <c r="J610" s="413">
        <v>2.34</v>
      </c>
      <c r="K610" s="413">
        <v>0.35</v>
      </c>
      <c r="L610" s="414"/>
      <c r="M610" s="414"/>
      <c r="N610" s="400">
        <f t="shared" si="23"/>
        <v>2.2931999999999997</v>
      </c>
      <c r="O610" s="400"/>
    </row>
    <row r="611" spans="1:15" s="109" customFormat="1" ht="15" customHeight="1">
      <c r="A611" s="342"/>
      <c r="B611" s="342"/>
      <c r="C611" s="1033" t="s">
        <v>1698</v>
      </c>
      <c r="D611" s="1033"/>
      <c r="E611" s="1033"/>
      <c r="F611" s="1033"/>
      <c r="G611" s="343" t="s">
        <v>61</v>
      </c>
      <c r="H611" s="412"/>
      <c r="I611" s="413">
        <v>0.14000000000000001</v>
      </c>
      <c r="J611" s="413">
        <v>6.4</v>
      </c>
      <c r="K611" s="413">
        <v>0.55000000000000004</v>
      </c>
      <c r="L611" s="414"/>
      <c r="M611" s="414"/>
      <c r="N611" s="400">
        <f t="shared" si="23"/>
        <v>8.8320000000000007</v>
      </c>
      <c r="O611" s="400"/>
    </row>
    <row r="612" spans="1:15" s="109" customFormat="1" ht="15" customHeight="1">
      <c r="A612" s="376"/>
      <c r="B612" s="376"/>
      <c r="C612" s="1033" t="s">
        <v>1699</v>
      </c>
      <c r="D612" s="1033"/>
      <c r="E612" s="1033"/>
      <c r="F612" s="1033"/>
      <c r="G612" s="343" t="s">
        <v>61</v>
      </c>
      <c r="H612" s="412"/>
      <c r="I612" s="415">
        <v>0.14000000000000001</v>
      </c>
      <c r="J612" s="415">
        <v>2.96</v>
      </c>
      <c r="K612" s="415">
        <v>0.35</v>
      </c>
      <c r="L612" s="400"/>
      <c r="M612" s="411"/>
      <c r="N612" s="400">
        <f t="shared" si="23"/>
        <v>2.9007999999999998</v>
      </c>
      <c r="O612" s="400"/>
    </row>
    <row r="613" spans="1:15" s="109" customFormat="1" ht="15" customHeight="1">
      <c r="A613" s="376"/>
      <c r="B613" s="376"/>
      <c r="C613" s="1033" t="s">
        <v>1700</v>
      </c>
      <c r="D613" s="1033"/>
      <c r="E613" s="1033"/>
      <c r="F613" s="1033"/>
      <c r="G613" s="343" t="s">
        <v>61</v>
      </c>
      <c r="H613" s="412"/>
      <c r="I613" s="415">
        <v>0.14000000000000001</v>
      </c>
      <c r="J613" s="413">
        <v>2.34</v>
      </c>
      <c r="K613" s="413">
        <v>0.35</v>
      </c>
      <c r="L613" s="400"/>
      <c r="M613" s="411"/>
      <c r="N613" s="400">
        <f t="shared" si="23"/>
        <v>2.2931999999999997</v>
      </c>
      <c r="O613" s="400"/>
    </row>
    <row r="614" spans="1:15" s="109" customFormat="1" ht="15" customHeight="1">
      <c r="A614" s="376"/>
      <c r="B614" s="376"/>
      <c r="C614" s="1033" t="s">
        <v>1701</v>
      </c>
      <c r="D614" s="1033"/>
      <c r="E614" s="1033"/>
      <c r="F614" s="1033"/>
      <c r="G614" s="343" t="s">
        <v>61</v>
      </c>
      <c r="H614" s="412"/>
      <c r="I614" s="415">
        <v>0.14000000000000001</v>
      </c>
      <c r="J614" s="413">
        <v>2.34</v>
      </c>
      <c r="K614" s="413">
        <v>0.35</v>
      </c>
      <c r="L614" s="400"/>
      <c r="M614" s="411"/>
      <c r="N614" s="400">
        <f t="shared" si="23"/>
        <v>2.2931999999999997</v>
      </c>
      <c r="O614" s="400"/>
    </row>
    <row r="615" spans="1:15" s="109" customFormat="1" ht="15" customHeight="1">
      <c r="A615" s="376"/>
      <c r="B615" s="376"/>
      <c r="C615" s="1033" t="s">
        <v>1702</v>
      </c>
      <c r="D615" s="1033"/>
      <c r="E615" s="1033"/>
      <c r="F615" s="1033"/>
      <c r="G615" s="343" t="s">
        <v>61</v>
      </c>
      <c r="H615" s="412"/>
      <c r="I615" s="415">
        <v>0.14000000000000001</v>
      </c>
      <c r="J615" s="413">
        <v>6.96</v>
      </c>
      <c r="K615" s="413">
        <v>0.55000000000000004</v>
      </c>
      <c r="L615" s="400"/>
      <c r="M615" s="411"/>
      <c r="N615" s="400">
        <f t="shared" si="23"/>
        <v>9.6048000000000009</v>
      </c>
      <c r="O615" s="400"/>
    </row>
    <row r="616" spans="1:15" s="109" customFormat="1" ht="15" customHeight="1">
      <c r="A616" s="376"/>
      <c r="B616" s="376"/>
      <c r="C616" s="1033" t="s">
        <v>1703</v>
      </c>
      <c r="D616" s="1033"/>
      <c r="E616" s="1033"/>
      <c r="F616" s="1033"/>
      <c r="G616" s="343" t="s">
        <v>61</v>
      </c>
      <c r="H616" s="412"/>
      <c r="I616" s="415">
        <v>0.14000000000000001</v>
      </c>
      <c r="J616" s="415">
        <v>2.97</v>
      </c>
      <c r="K616" s="415">
        <v>0.35</v>
      </c>
      <c r="L616" s="400"/>
      <c r="M616" s="411"/>
      <c r="N616" s="400">
        <f t="shared" si="23"/>
        <v>2.9106000000000001</v>
      </c>
      <c r="O616" s="400"/>
    </row>
    <row r="617" spans="1:15" s="109" customFormat="1" ht="15" customHeight="1">
      <c r="A617" s="376"/>
      <c r="B617" s="376"/>
      <c r="C617" s="1033" t="s">
        <v>1704</v>
      </c>
      <c r="D617" s="1033"/>
      <c r="E617" s="1033"/>
      <c r="F617" s="1033"/>
      <c r="G617" s="343" t="s">
        <v>61</v>
      </c>
      <c r="H617" s="412"/>
      <c r="I617" s="415">
        <v>0.14000000000000001</v>
      </c>
      <c r="J617" s="413">
        <v>2.34</v>
      </c>
      <c r="K617" s="413">
        <v>0.35</v>
      </c>
      <c r="L617" s="400"/>
      <c r="M617" s="411"/>
      <c r="N617" s="400">
        <f t="shared" si="23"/>
        <v>2.2931999999999997</v>
      </c>
      <c r="O617" s="400"/>
    </row>
    <row r="618" spans="1:15" s="109" customFormat="1" ht="15" customHeight="1">
      <c r="A618" s="376"/>
      <c r="B618" s="376"/>
      <c r="C618" s="1033" t="s">
        <v>1705</v>
      </c>
      <c r="D618" s="1033"/>
      <c r="E618" s="1033"/>
      <c r="F618" s="1033"/>
      <c r="G618" s="343" t="s">
        <v>61</v>
      </c>
      <c r="H618" s="412"/>
      <c r="I618" s="415">
        <v>0.14000000000000001</v>
      </c>
      <c r="J618" s="413">
        <v>6.96</v>
      </c>
      <c r="K618" s="413">
        <v>0.55000000000000004</v>
      </c>
      <c r="L618" s="400"/>
      <c r="M618" s="411"/>
      <c r="N618" s="400">
        <f t="shared" si="23"/>
        <v>9.6048000000000009</v>
      </c>
      <c r="O618" s="400"/>
    </row>
    <row r="619" spans="1:15" s="109" customFormat="1" ht="15" customHeight="1">
      <c r="A619" s="376"/>
      <c r="B619" s="376"/>
      <c r="C619" s="1033" t="s">
        <v>1706</v>
      </c>
      <c r="D619" s="1033"/>
      <c r="E619" s="1033"/>
      <c r="F619" s="1033"/>
      <c r="G619" s="343" t="s">
        <v>61</v>
      </c>
      <c r="H619" s="412"/>
      <c r="I619" s="415">
        <v>0.14000000000000001</v>
      </c>
      <c r="J619" s="415">
        <v>2.97</v>
      </c>
      <c r="K619" s="415">
        <v>0.35</v>
      </c>
      <c r="L619" s="400"/>
      <c r="M619" s="411"/>
      <c r="N619" s="400">
        <f t="shared" si="23"/>
        <v>2.9106000000000001</v>
      </c>
      <c r="O619" s="400"/>
    </row>
    <row r="620" spans="1:15" s="109" customFormat="1" ht="15" customHeight="1">
      <c r="A620" s="376"/>
      <c r="B620" s="376"/>
      <c r="C620" s="1033" t="s">
        <v>1707</v>
      </c>
      <c r="D620" s="1033"/>
      <c r="E620" s="1033"/>
      <c r="F620" s="1033"/>
      <c r="G620" s="343" t="s">
        <v>61</v>
      </c>
      <c r="H620" s="412"/>
      <c r="I620" s="415">
        <v>0.14000000000000001</v>
      </c>
      <c r="J620" s="413">
        <v>6.96</v>
      </c>
      <c r="K620" s="413">
        <v>0.55000000000000004</v>
      </c>
      <c r="L620" s="400"/>
      <c r="M620" s="411"/>
      <c r="N620" s="400">
        <f t="shared" si="23"/>
        <v>9.6048000000000009</v>
      </c>
      <c r="O620" s="400"/>
    </row>
    <row r="621" spans="1:15" s="109" customFormat="1" ht="15" customHeight="1">
      <c r="A621" s="376"/>
      <c r="B621" s="376"/>
      <c r="C621" s="1033" t="s">
        <v>1708</v>
      </c>
      <c r="D621" s="1033"/>
      <c r="E621" s="1033"/>
      <c r="F621" s="1033"/>
      <c r="G621" s="343" t="s">
        <v>61</v>
      </c>
      <c r="H621" s="412"/>
      <c r="I621" s="415">
        <v>0.14000000000000001</v>
      </c>
      <c r="J621" s="415">
        <v>2.97</v>
      </c>
      <c r="K621" s="415">
        <v>0.35</v>
      </c>
      <c r="L621" s="400"/>
      <c r="M621" s="411"/>
      <c r="N621" s="400">
        <f t="shared" si="23"/>
        <v>2.9106000000000001</v>
      </c>
      <c r="O621" s="400"/>
    </row>
    <row r="622" spans="1:15" s="109" customFormat="1" ht="15" customHeight="1">
      <c r="A622" s="376"/>
      <c r="B622" s="376"/>
      <c r="C622" s="1033" t="s">
        <v>1709</v>
      </c>
      <c r="D622" s="1033"/>
      <c r="E622" s="1033"/>
      <c r="F622" s="1033"/>
      <c r="G622" s="343" t="s">
        <v>61</v>
      </c>
      <c r="H622" s="412"/>
      <c r="I622" s="415">
        <v>0.14000000000000001</v>
      </c>
      <c r="J622" s="413">
        <v>6.96</v>
      </c>
      <c r="K622" s="413">
        <v>0.55000000000000004</v>
      </c>
      <c r="L622" s="400"/>
      <c r="M622" s="411"/>
      <c r="N622" s="400">
        <f t="shared" si="23"/>
        <v>9.6048000000000009</v>
      </c>
      <c r="O622" s="400"/>
    </row>
    <row r="623" spans="1:15" s="109" customFormat="1" ht="15" customHeight="1">
      <c r="A623" s="376"/>
      <c r="B623" s="376"/>
      <c r="C623" s="1033" t="s">
        <v>1710</v>
      </c>
      <c r="D623" s="1033"/>
      <c r="E623" s="1033"/>
      <c r="F623" s="1033"/>
      <c r="G623" s="343" t="s">
        <v>61</v>
      </c>
      <c r="H623" s="412"/>
      <c r="I623" s="415">
        <v>0.14000000000000001</v>
      </c>
      <c r="J623" s="413">
        <v>2.33</v>
      </c>
      <c r="K623" s="413">
        <v>0.35</v>
      </c>
      <c r="L623" s="400"/>
      <c r="M623" s="411"/>
      <c r="N623" s="400">
        <f t="shared" si="23"/>
        <v>2.2833999999999999</v>
      </c>
      <c r="O623" s="400"/>
    </row>
    <row r="624" spans="1:15" s="109" customFormat="1" ht="15" customHeight="1">
      <c r="A624" s="376"/>
      <c r="B624" s="376"/>
      <c r="C624" s="1033" t="s">
        <v>1711</v>
      </c>
      <c r="D624" s="1033"/>
      <c r="E624" s="1033"/>
      <c r="F624" s="1033"/>
      <c r="G624" s="343" t="s">
        <v>61</v>
      </c>
      <c r="H624" s="412"/>
      <c r="I624" s="415">
        <v>0.14000000000000001</v>
      </c>
      <c r="J624" s="413">
        <v>2.33</v>
      </c>
      <c r="K624" s="413">
        <v>0.35</v>
      </c>
      <c r="L624" s="400"/>
      <c r="M624" s="411"/>
      <c r="N624" s="400">
        <f t="shared" si="23"/>
        <v>2.2833999999999999</v>
      </c>
      <c r="O624" s="400"/>
    </row>
    <row r="625" spans="1:15" s="109" customFormat="1" ht="15" customHeight="1">
      <c r="A625" s="376"/>
      <c r="B625" s="376"/>
      <c r="C625" s="1033" t="s">
        <v>1712</v>
      </c>
      <c r="D625" s="1033"/>
      <c r="E625" s="1033"/>
      <c r="F625" s="1033"/>
      <c r="G625" s="343" t="s">
        <v>61</v>
      </c>
      <c r="H625" s="412"/>
      <c r="I625" s="415">
        <v>0.14000000000000001</v>
      </c>
      <c r="J625" s="413">
        <v>2.33</v>
      </c>
      <c r="K625" s="413">
        <v>0.35</v>
      </c>
      <c r="L625" s="400"/>
      <c r="M625" s="411"/>
      <c r="N625" s="400">
        <f t="shared" si="23"/>
        <v>2.2833999999999999</v>
      </c>
      <c r="O625" s="400"/>
    </row>
    <row r="626" spans="1:15" s="109" customFormat="1" ht="15" customHeight="1">
      <c r="A626" s="376"/>
      <c r="B626" s="376"/>
      <c r="C626" s="1032" t="s">
        <v>1713</v>
      </c>
      <c r="D626" s="1032"/>
      <c r="E626" s="1032"/>
      <c r="F626" s="1032"/>
      <c r="G626" s="684"/>
      <c r="H626" s="685"/>
      <c r="I626" s="686"/>
      <c r="J626" s="685"/>
      <c r="K626" s="687"/>
      <c r="L626" s="685"/>
      <c r="M626" s="688"/>
      <c r="N626" s="685"/>
      <c r="O626" s="400"/>
    </row>
    <row r="627" spans="1:15" s="109" customFormat="1" ht="15" customHeight="1">
      <c r="A627" s="376"/>
      <c r="B627" s="376"/>
      <c r="C627" s="1033" t="s">
        <v>1714</v>
      </c>
      <c r="D627" s="1033"/>
      <c r="E627" s="1033"/>
      <c r="F627" s="1033"/>
      <c r="G627" s="343" t="s">
        <v>61</v>
      </c>
      <c r="H627" s="689"/>
      <c r="I627" s="689">
        <v>3.14</v>
      </c>
      <c r="J627" s="689">
        <v>2.5299999999999998</v>
      </c>
      <c r="K627" s="689">
        <v>0.1</v>
      </c>
      <c r="L627" s="400"/>
      <c r="M627" s="411"/>
      <c r="N627" s="400">
        <f t="shared" ref="N627:N634" si="24">I627*J627</f>
        <v>7.9441999999999995</v>
      </c>
      <c r="O627" s="400"/>
    </row>
    <row r="628" spans="1:15" s="109" customFormat="1" ht="15" customHeight="1">
      <c r="A628" s="376"/>
      <c r="B628" s="376"/>
      <c r="C628" s="1033" t="s">
        <v>1715</v>
      </c>
      <c r="D628" s="1033"/>
      <c r="E628" s="1033"/>
      <c r="F628" s="1033"/>
      <c r="G628" s="343" t="s">
        <v>61</v>
      </c>
      <c r="H628" s="689"/>
      <c r="I628" s="689">
        <v>3.14</v>
      </c>
      <c r="J628" s="689">
        <v>2.5299999999999998</v>
      </c>
      <c r="K628" s="689">
        <v>0.1</v>
      </c>
      <c r="L628" s="400"/>
      <c r="M628" s="411"/>
      <c r="N628" s="400">
        <f t="shared" si="24"/>
        <v>7.9441999999999995</v>
      </c>
      <c r="O628" s="400"/>
    </row>
    <row r="629" spans="1:15" s="109" customFormat="1" ht="15" customHeight="1">
      <c r="A629" s="376"/>
      <c r="B629" s="376"/>
      <c r="C629" s="1033" t="s">
        <v>1716</v>
      </c>
      <c r="D629" s="1033"/>
      <c r="E629" s="1033"/>
      <c r="F629" s="1033"/>
      <c r="G629" s="343" t="s">
        <v>61</v>
      </c>
      <c r="H629" s="689"/>
      <c r="I629" s="689">
        <v>3.14</v>
      </c>
      <c r="J629" s="689">
        <v>2.5299999999999998</v>
      </c>
      <c r="K629" s="689">
        <v>0.1</v>
      </c>
      <c r="L629" s="400"/>
      <c r="M629" s="411"/>
      <c r="N629" s="400">
        <f t="shared" si="24"/>
        <v>7.9441999999999995</v>
      </c>
      <c r="O629" s="400"/>
    </row>
    <row r="630" spans="1:15" s="109" customFormat="1" ht="15" customHeight="1">
      <c r="A630" s="376"/>
      <c r="B630" s="376"/>
      <c r="C630" s="1033" t="s">
        <v>1717</v>
      </c>
      <c r="D630" s="1033"/>
      <c r="E630" s="1033"/>
      <c r="F630" s="1033"/>
      <c r="G630" s="343" t="s">
        <v>61</v>
      </c>
      <c r="H630" s="689"/>
      <c r="I630" s="689">
        <v>3.14</v>
      </c>
      <c r="J630" s="689">
        <v>2.5299999999999998</v>
      </c>
      <c r="K630" s="689">
        <v>0.1</v>
      </c>
      <c r="L630" s="400"/>
      <c r="M630" s="411"/>
      <c r="N630" s="400">
        <f t="shared" si="24"/>
        <v>7.9441999999999995</v>
      </c>
      <c r="O630" s="400"/>
    </row>
    <row r="631" spans="1:15" s="109" customFormat="1" ht="15" customHeight="1">
      <c r="A631" s="376"/>
      <c r="B631" s="376"/>
      <c r="C631" s="1033" t="s">
        <v>1718</v>
      </c>
      <c r="D631" s="1033"/>
      <c r="E631" s="1033"/>
      <c r="F631" s="1033"/>
      <c r="G631" s="343" t="s">
        <v>61</v>
      </c>
      <c r="H631" s="689"/>
      <c r="I631" s="689">
        <v>3.04</v>
      </c>
      <c r="J631" s="689">
        <v>2.33</v>
      </c>
      <c r="K631" s="689">
        <v>0.1</v>
      </c>
      <c r="L631" s="400"/>
      <c r="M631" s="411"/>
      <c r="N631" s="400">
        <f t="shared" si="24"/>
        <v>7.0832000000000006</v>
      </c>
      <c r="O631" s="400"/>
    </row>
    <row r="632" spans="1:15" s="109" customFormat="1" ht="15" customHeight="1">
      <c r="A632" s="376"/>
      <c r="B632" s="376"/>
      <c r="C632" s="1033" t="s">
        <v>1719</v>
      </c>
      <c r="D632" s="1033"/>
      <c r="E632" s="1033"/>
      <c r="F632" s="1033"/>
      <c r="G632" s="343" t="s">
        <v>61</v>
      </c>
      <c r="H632" s="689"/>
      <c r="I632" s="689">
        <v>3.04</v>
      </c>
      <c r="J632" s="689">
        <v>2.33</v>
      </c>
      <c r="K632" s="689">
        <v>0.1</v>
      </c>
      <c r="L632" s="400"/>
      <c r="M632" s="411"/>
      <c r="N632" s="400">
        <f t="shared" si="24"/>
        <v>7.0832000000000006</v>
      </c>
      <c r="O632" s="400"/>
    </row>
    <row r="633" spans="1:15" s="109" customFormat="1" ht="15" customHeight="1">
      <c r="A633" s="376"/>
      <c r="B633" s="376"/>
      <c r="C633" s="1033" t="s">
        <v>1720</v>
      </c>
      <c r="D633" s="1033"/>
      <c r="E633" s="1033"/>
      <c r="F633" s="1033"/>
      <c r="G633" s="343" t="s">
        <v>61</v>
      </c>
      <c r="H633" s="412"/>
      <c r="I633" s="689">
        <v>3.14</v>
      </c>
      <c r="J633" s="689">
        <v>2.5299999999999998</v>
      </c>
      <c r="K633" s="689">
        <v>0.1</v>
      </c>
      <c r="L633" s="400"/>
      <c r="M633" s="411"/>
      <c r="N633" s="400">
        <f t="shared" si="24"/>
        <v>7.9441999999999995</v>
      </c>
      <c r="O633" s="400"/>
    </row>
    <row r="634" spans="1:15" s="109" customFormat="1" ht="15" customHeight="1">
      <c r="A634" s="376"/>
      <c r="B634" s="376"/>
      <c r="C634" s="1033" t="s">
        <v>1721</v>
      </c>
      <c r="D634" s="1033"/>
      <c r="E634" s="1033"/>
      <c r="F634" s="1033"/>
      <c r="G634" s="343" t="s">
        <v>61</v>
      </c>
      <c r="H634" s="412"/>
      <c r="I634" s="689">
        <v>3.14</v>
      </c>
      <c r="J634" s="689">
        <v>2.5299999999999998</v>
      </c>
      <c r="K634" s="689">
        <v>0.1</v>
      </c>
      <c r="L634" s="400"/>
      <c r="M634" s="411"/>
      <c r="N634" s="400">
        <f t="shared" si="24"/>
        <v>7.9441999999999995</v>
      </c>
      <c r="O634" s="400"/>
    </row>
    <row r="635" spans="1:15" s="109" customFormat="1" ht="15" customHeight="1">
      <c r="A635" s="376"/>
      <c r="B635" s="376"/>
      <c r="C635" s="1032" t="s">
        <v>1731</v>
      </c>
      <c r="D635" s="1032"/>
      <c r="E635" s="1032"/>
      <c r="F635" s="1032"/>
      <c r="G635" s="464"/>
      <c r="H635" s="431"/>
      <c r="I635" s="681"/>
      <c r="J635" s="681"/>
      <c r="K635" s="689"/>
      <c r="L635" s="400"/>
      <c r="M635" s="682"/>
      <c r="N635" s="400"/>
      <c r="O635" s="400"/>
    </row>
    <row r="636" spans="1:15" s="109" customFormat="1" ht="15" customHeight="1">
      <c r="A636" s="376"/>
      <c r="B636" s="376"/>
      <c r="C636" s="1031" t="s">
        <v>1732</v>
      </c>
      <c r="D636" s="1031"/>
      <c r="E636" s="1031"/>
      <c r="F636" s="1031"/>
      <c r="G636" s="464" t="s">
        <v>61</v>
      </c>
      <c r="H636" s="431"/>
      <c r="I636" s="681">
        <v>1.91</v>
      </c>
      <c r="J636" s="681">
        <v>5.51</v>
      </c>
      <c r="K636" s="689">
        <v>0.12</v>
      </c>
      <c r="L636" s="400"/>
      <c r="M636" s="682"/>
      <c r="N636" s="400">
        <f t="shared" ref="N636:N670" si="25">I636*J636</f>
        <v>10.524099999999999</v>
      </c>
      <c r="O636" s="400"/>
    </row>
    <row r="637" spans="1:15" s="109" customFormat="1" ht="15" customHeight="1">
      <c r="A637" s="376"/>
      <c r="B637" s="376"/>
      <c r="C637" s="1031" t="s">
        <v>1733</v>
      </c>
      <c r="D637" s="1031"/>
      <c r="E637" s="1031"/>
      <c r="F637" s="1031"/>
      <c r="G637" s="464" t="s">
        <v>61</v>
      </c>
      <c r="H637" s="431"/>
      <c r="I637" s="689">
        <v>5.53</v>
      </c>
      <c r="J637" s="689">
        <v>3.5</v>
      </c>
      <c r="K637" s="689">
        <v>0.12</v>
      </c>
      <c r="L637" s="683"/>
      <c r="M637" s="683"/>
      <c r="N637" s="400">
        <f t="shared" si="25"/>
        <v>19.355</v>
      </c>
      <c r="O637" s="400"/>
    </row>
    <row r="638" spans="1:15" s="109" customFormat="1" ht="15" customHeight="1">
      <c r="A638" s="376"/>
      <c r="B638" s="376"/>
      <c r="C638" s="1031" t="s">
        <v>1734</v>
      </c>
      <c r="D638" s="1031"/>
      <c r="E638" s="1031"/>
      <c r="F638" s="1031"/>
      <c r="G638" s="464" t="s">
        <v>61</v>
      </c>
      <c r="H638" s="431"/>
      <c r="I638" s="689">
        <v>4.0599999999999996</v>
      </c>
      <c r="J638" s="689">
        <v>5.81</v>
      </c>
      <c r="K638" s="689">
        <v>0.12</v>
      </c>
      <c r="L638" s="683"/>
      <c r="M638" s="683"/>
      <c r="N638" s="400">
        <f t="shared" si="25"/>
        <v>23.588599999999996</v>
      </c>
      <c r="O638" s="400"/>
    </row>
    <row r="639" spans="1:15" s="109" customFormat="1" ht="15" customHeight="1">
      <c r="A639" s="376"/>
      <c r="B639" s="376"/>
      <c r="C639" s="1031" t="s">
        <v>1735</v>
      </c>
      <c r="D639" s="1031"/>
      <c r="E639" s="1031"/>
      <c r="F639" s="1031"/>
      <c r="G639" s="464" t="s">
        <v>61</v>
      </c>
      <c r="H639" s="431"/>
      <c r="I639" s="689">
        <v>1.51</v>
      </c>
      <c r="J639" s="689">
        <v>1.21</v>
      </c>
      <c r="K639" s="689">
        <v>0.12</v>
      </c>
      <c r="L639" s="683"/>
      <c r="M639" s="683"/>
      <c r="N639" s="400">
        <f t="shared" si="25"/>
        <v>1.8270999999999999</v>
      </c>
      <c r="O639" s="400"/>
    </row>
    <row r="640" spans="1:15" s="109" customFormat="1" ht="15" customHeight="1">
      <c r="A640" s="376"/>
      <c r="B640" s="376"/>
      <c r="C640" s="1031" t="s">
        <v>1736</v>
      </c>
      <c r="D640" s="1031"/>
      <c r="E640" s="1031"/>
      <c r="F640" s="1031"/>
      <c r="G640" s="464" t="s">
        <v>61</v>
      </c>
      <c r="H640" s="431"/>
      <c r="I640" s="689">
        <v>1.71</v>
      </c>
      <c r="J640" s="689">
        <v>1.21</v>
      </c>
      <c r="K640" s="689">
        <v>0.12</v>
      </c>
      <c r="L640" s="683"/>
      <c r="M640" s="683"/>
      <c r="N640" s="400">
        <f t="shared" si="25"/>
        <v>2.0690999999999997</v>
      </c>
      <c r="O640" s="400"/>
    </row>
    <row r="641" spans="1:15" s="109" customFormat="1" ht="15" customHeight="1">
      <c r="A641" s="376"/>
      <c r="B641" s="376"/>
      <c r="C641" s="1031" t="s">
        <v>1737</v>
      </c>
      <c r="D641" s="1031"/>
      <c r="E641" s="1031"/>
      <c r="F641" s="1031"/>
      <c r="G641" s="464" t="s">
        <v>61</v>
      </c>
      <c r="H641" s="431"/>
      <c r="I641" s="689">
        <v>1.71</v>
      </c>
      <c r="J641" s="689">
        <v>1.21</v>
      </c>
      <c r="K641" s="689">
        <v>0.12</v>
      </c>
      <c r="L641" s="683"/>
      <c r="M641" s="683"/>
      <c r="N641" s="400">
        <f t="shared" si="25"/>
        <v>2.0690999999999997</v>
      </c>
      <c r="O641" s="400"/>
    </row>
    <row r="642" spans="1:15" s="109" customFormat="1" ht="15" customHeight="1">
      <c r="A642" s="376"/>
      <c r="B642" s="376"/>
      <c r="C642" s="1031" t="s">
        <v>1738</v>
      </c>
      <c r="D642" s="1031"/>
      <c r="E642" s="1031"/>
      <c r="F642" s="1031"/>
      <c r="G642" s="464" t="s">
        <v>61</v>
      </c>
      <c r="H642" s="431"/>
      <c r="I642" s="689">
        <v>1.51</v>
      </c>
      <c r="J642" s="689">
        <v>1.21</v>
      </c>
      <c r="K642" s="689">
        <v>0.12</v>
      </c>
      <c r="L642" s="683"/>
      <c r="M642" s="683"/>
      <c r="N642" s="400">
        <f t="shared" si="25"/>
        <v>1.8270999999999999</v>
      </c>
      <c r="O642" s="400"/>
    </row>
    <row r="643" spans="1:15" s="109" customFormat="1" ht="15" customHeight="1">
      <c r="A643" s="376"/>
      <c r="B643" s="376"/>
      <c r="C643" s="1031" t="s">
        <v>1739</v>
      </c>
      <c r="D643" s="1031"/>
      <c r="E643" s="1031"/>
      <c r="F643" s="1031"/>
      <c r="G643" s="464" t="s">
        <v>61</v>
      </c>
      <c r="H643" s="431"/>
      <c r="I643" s="689">
        <v>2.5099999999999998</v>
      </c>
      <c r="J643" s="689">
        <v>5.16</v>
      </c>
      <c r="K643" s="689">
        <v>0.12</v>
      </c>
      <c r="L643" s="683"/>
      <c r="M643" s="683"/>
      <c r="N643" s="400">
        <f t="shared" si="25"/>
        <v>12.951599999999999</v>
      </c>
      <c r="O643" s="400"/>
    </row>
    <row r="644" spans="1:15" s="109" customFormat="1" ht="15" customHeight="1">
      <c r="A644" s="376"/>
      <c r="B644" s="376"/>
      <c r="C644" s="1031" t="s">
        <v>1740</v>
      </c>
      <c r="D644" s="1031"/>
      <c r="E644" s="1031"/>
      <c r="F644" s="1031"/>
      <c r="G644" s="464" t="s">
        <v>61</v>
      </c>
      <c r="H644" s="431"/>
      <c r="I644" s="689">
        <v>5.51</v>
      </c>
      <c r="J644" s="689">
        <v>2.8</v>
      </c>
      <c r="K644" s="689">
        <v>0.12</v>
      </c>
      <c r="L644" s="683"/>
      <c r="M644" s="683"/>
      <c r="N644" s="400">
        <f t="shared" si="25"/>
        <v>15.427999999999999</v>
      </c>
      <c r="O644" s="400"/>
    </row>
    <row r="645" spans="1:15" s="109" customFormat="1" ht="15" customHeight="1">
      <c r="A645" s="376"/>
      <c r="B645" s="376"/>
      <c r="C645" s="1031" t="s">
        <v>1741</v>
      </c>
      <c r="D645" s="1031"/>
      <c r="E645" s="1031"/>
      <c r="F645" s="1031"/>
      <c r="G645" s="464" t="s">
        <v>61</v>
      </c>
      <c r="H645" s="431"/>
      <c r="I645" s="689">
        <v>2.5099999999999998</v>
      </c>
      <c r="J645" s="689">
        <v>5.16</v>
      </c>
      <c r="K645" s="689">
        <v>0.12</v>
      </c>
      <c r="L645" s="683"/>
      <c r="M645" s="683"/>
      <c r="N645" s="400">
        <f t="shared" si="25"/>
        <v>12.951599999999999</v>
      </c>
      <c r="O645" s="400"/>
    </row>
    <row r="646" spans="1:15" s="109" customFormat="1" ht="15" customHeight="1">
      <c r="A646" s="376"/>
      <c r="B646" s="376"/>
      <c r="C646" s="1031" t="s">
        <v>1742</v>
      </c>
      <c r="D646" s="1031"/>
      <c r="E646" s="1031"/>
      <c r="F646" s="1031"/>
      <c r="G646" s="464" t="s">
        <v>61</v>
      </c>
      <c r="H646" s="431"/>
      <c r="I646" s="689">
        <v>5.34</v>
      </c>
      <c r="J646" s="689">
        <v>2.17</v>
      </c>
      <c r="K646" s="689">
        <v>0.12</v>
      </c>
      <c r="L646" s="683"/>
      <c r="M646" s="683"/>
      <c r="N646" s="400">
        <f t="shared" si="25"/>
        <v>11.5878</v>
      </c>
      <c r="O646" s="400"/>
    </row>
    <row r="647" spans="1:15" s="109" customFormat="1" ht="15" customHeight="1">
      <c r="A647" s="376"/>
      <c r="B647" s="376"/>
      <c r="C647" s="1031" t="s">
        <v>1743</v>
      </c>
      <c r="D647" s="1031"/>
      <c r="E647" s="1031"/>
      <c r="F647" s="1031"/>
      <c r="G647" s="464" t="s">
        <v>61</v>
      </c>
      <c r="H647" s="431"/>
      <c r="I647" s="689">
        <v>3.36</v>
      </c>
      <c r="J647" s="689">
        <v>3.81</v>
      </c>
      <c r="K647" s="689">
        <v>0.12</v>
      </c>
      <c r="L647" s="683"/>
      <c r="M647" s="683"/>
      <c r="N647" s="400">
        <f t="shared" si="25"/>
        <v>12.801600000000001</v>
      </c>
      <c r="O647" s="400"/>
    </row>
    <row r="648" spans="1:15" s="109" customFormat="1" ht="15" customHeight="1">
      <c r="A648" s="376"/>
      <c r="B648" s="376"/>
      <c r="C648" s="1031" t="s">
        <v>1744</v>
      </c>
      <c r="D648" s="1031"/>
      <c r="E648" s="1031"/>
      <c r="F648" s="1031"/>
      <c r="G648" s="464" t="s">
        <v>61</v>
      </c>
      <c r="H648" s="431"/>
      <c r="I648" s="689">
        <v>4.41</v>
      </c>
      <c r="J648" s="689">
        <v>1.83</v>
      </c>
      <c r="K648" s="689">
        <v>0.12</v>
      </c>
      <c r="L648" s="683"/>
      <c r="M648" s="683"/>
      <c r="N648" s="400">
        <f t="shared" si="25"/>
        <v>8.0703000000000014</v>
      </c>
      <c r="O648" s="400"/>
    </row>
    <row r="649" spans="1:15" s="109" customFormat="1" ht="15" customHeight="1">
      <c r="A649" s="376"/>
      <c r="B649" s="376"/>
      <c r="C649" s="1031" t="s">
        <v>1745</v>
      </c>
      <c r="D649" s="1031"/>
      <c r="E649" s="1031"/>
      <c r="F649" s="1031"/>
      <c r="G649" s="464" t="s">
        <v>61</v>
      </c>
      <c r="H649" s="431"/>
      <c r="I649" s="689">
        <v>3.36</v>
      </c>
      <c r="J649" s="689">
        <v>3.81</v>
      </c>
      <c r="K649" s="689">
        <v>0.12</v>
      </c>
      <c r="L649" s="683"/>
      <c r="M649" s="683"/>
      <c r="N649" s="400">
        <f t="shared" si="25"/>
        <v>12.801600000000001</v>
      </c>
      <c r="O649" s="400"/>
    </row>
    <row r="650" spans="1:15" s="109" customFormat="1" ht="15" customHeight="1">
      <c r="A650" s="376"/>
      <c r="B650" s="376"/>
      <c r="C650" s="1031" t="s">
        <v>1746</v>
      </c>
      <c r="D650" s="1031"/>
      <c r="E650" s="1031"/>
      <c r="F650" s="1031"/>
      <c r="G650" s="464" t="s">
        <v>61</v>
      </c>
      <c r="H650" s="431"/>
      <c r="I650" s="689">
        <v>2.66</v>
      </c>
      <c r="J650" s="689">
        <v>3.27</v>
      </c>
      <c r="K650" s="689">
        <v>0.12</v>
      </c>
      <c r="L650" s="683"/>
      <c r="M650" s="683"/>
      <c r="N650" s="400">
        <f t="shared" si="25"/>
        <v>8.6981999999999999</v>
      </c>
      <c r="O650" s="400"/>
    </row>
    <row r="651" spans="1:15" s="109" customFormat="1" ht="15" customHeight="1">
      <c r="A651" s="376"/>
      <c r="B651" s="376"/>
      <c r="C651" s="1031" t="s">
        <v>1747</v>
      </c>
      <c r="D651" s="1031"/>
      <c r="E651" s="1031"/>
      <c r="F651" s="1031"/>
      <c r="G651" s="464" t="s">
        <v>61</v>
      </c>
      <c r="H651" s="431"/>
      <c r="I651" s="689">
        <v>4.37</v>
      </c>
      <c r="J651" s="689">
        <v>9.64</v>
      </c>
      <c r="K651" s="689">
        <v>0.12</v>
      </c>
      <c r="L651" s="683"/>
      <c r="M651" s="683"/>
      <c r="N651" s="400">
        <f t="shared" si="25"/>
        <v>42.126800000000003</v>
      </c>
      <c r="O651" s="400"/>
    </row>
    <row r="652" spans="1:15" s="109" customFormat="1" ht="15" customHeight="1">
      <c r="A652" s="376"/>
      <c r="B652" s="376"/>
      <c r="C652" s="1031" t="s">
        <v>1748</v>
      </c>
      <c r="D652" s="1031"/>
      <c r="E652" s="1031"/>
      <c r="F652" s="1031"/>
      <c r="G652" s="464" t="s">
        <v>61</v>
      </c>
      <c r="H652" s="431"/>
      <c r="I652" s="689">
        <v>2.2599999999999998</v>
      </c>
      <c r="J652" s="689">
        <v>4.41</v>
      </c>
      <c r="K652" s="689">
        <v>0.12</v>
      </c>
      <c r="L652" s="683"/>
      <c r="M652" s="683"/>
      <c r="N652" s="400">
        <f t="shared" si="25"/>
        <v>9.9665999999999997</v>
      </c>
      <c r="O652" s="400"/>
    </row>
    <row r="653" spans="1:15" s="109" customFormat="1" ht="15" customHeight="1">
      <c r="A653" s="376"/>
      <c r="B653" s="376"/>
      <c r="C653" s="1031" t="s">
        <v>1749</v>
      </c>
      <c r="D653" s="1031"/>
      <c r="E653" s="1031"/>
      <c r="F653" s="1031"/>
      <c r="G653" s="464" t="s">
        <v>61</v>
      </c>
      <c r="H653" s="431"/>
      <c r="I653" s="689">
        <v>1.22</v>
      </c>
      <c r="J653" s="689">
        <v>16.14</v>
      </c>
      <c r="K653" s="689">
        <v>0.12</v>
      </c>
      <c r="L653" s="683"/>
      <c r="M653" s="683"/>
      <c r="N653" s="400">
        <f t="shared" si="25"/>
        <v>19.690799999999999</v>
      </c>
      <c r="O653" s="400"/>
    </row>
    <row r="654" spans="1:15" s="109" customFormat="1" ht="15" customHeight="1">
      <c r="A654" s="376"/>
      <c r="B654" s="376"/>
      <c r="C654" s="1031" t="s">
        <v>1750</v>
      </c>
      <c r="D654" s="1031"/>
      <c r="E654" s="1031"/>
      <c r="F654" s="1031"/>
      <c r="G654" s="464" t="s">
        <v>61</v>
      </c>
      <c r="H654" s="431"/>
      <c r="I654" s="689">
        <v>2.61</v>
      </c>
      <c r="J654" s="689">
        <v>8.0299999999999994</v>
      </c>
      <c r="K654" s="689">
        <v>0.12</v>
      </c>
      <c r="L654" s="683"/>
      <c r="M654" s="683"/>
      <c r="N654" s="400">
        <f t="shared" si="25"/>
        <v>20.958299999999998</v>
      </c>
      <c r="O654" s="400"/>
    </row>
    <row r="655" spans="1:15" s="109" customFormat="1" ht="15" customHeight="1">
      <c r="A655" s="376"/>
      <c r="B655" s="376"/>
      <c r="C655" s="1031" t="s">
        <v>1751</v>
      </c>
      <c r="D655" s="1031"/>
      <c r="E655" s="1031"/>
      <c r="F655" s="1031"/>
      <c r="G655" s="464" t="s">
        <v>61</v>
      </c>
      <c r="H655" s="431"/>
      <c r="I655" s="689">
        <v>2.66</v>
      </c>
      <c r="J655" s="689">
        <v>4.62</v>
      </c>
      <c r="K655" s="689">
        <v>0.12</v>
      </c>
      <c r="L655" s="683"/>
      <c r="M655" s="683"/>
      <c r="N655" s="400">
        <f t="shared" si="25"/>
        <v>12.289200000000001</v>
      </c>
      <c r="O655" s="400"/>
    </row>
    <row r="656" spans="1:15" s="109" customFormat="1" ht="15" customHeight="1">
      <c r="A656" s="376"/>
      <c r="B656" s="376"/>
      <c r="C656" s="1031" t="s">
        <v>1752</v>
      </c>
      <c r="D656" s="1031"/>
      <c r="E656" s="1031"/>
      <c r="F656" s="1031"/>
      <c r="G656" s="464" t="s">
        <v>61</v>
      </c>
      <c r="H656" s="431"/>
      <c r="I656" s="689">
        <v>4.46</v>
      </c>
      <c r="J656" s="689">
        <v>2.0499999999999998</v>
      </c>
      <c r="K656" s="689">
        <v>0.12</v>
      </c>
      <c r="L656" s="683"/>
      <c r="M656" s="683"/>
      <c r="N656" s="400">
        <f t="shared" si="25"/>
        <v>9.1429999999999989</v>
      </c>
      <c r="O656" s="400"/>
    </row>
    <row r="657" spans="1:15" s="109" customFormat="1" ht="15" customHeight="1">
      <c r="A657" s="376"/>
      <c r="B657" s="376"/>
      <c r="C657" s="1031" t="s">
        <v>1753</v>
      </c>
      <c r="D657" s="1031"/>
      <c r="E657" s="1031"/>
      <c r="F657" s="1031"/>
      <c r="G657" s="464" t="s">
        <v>61</v>
      </c>
      <c r="H657" s="431"/>
      <c r="I657" s="689">
        <v>1.81</v>
      </c>
      <c r="J657" s="689">
        <v>4.2300000000000004</v>
      </c>
      <c r="K657" s="689">
        <v>0.12</v>
      </c>
      <c r="L657" s="683"/>
      <c r="M657" s="683"/>
      <c r="N657" s="400">
        <f t="shared" si="25"/>
        <v>7.6563000000000008</v>
      </c>
      <c r="O657" s="400"/>
    </row>
    <row r="658" spans="1:15" s="109" customFormat="1" ht="15" customHeight="1">
      <c r="A658" s="376"/>
      <c r="B658" s="376"/>
      <c r="C658" s="1031" t="s">
        <v>1754</v>
      </c>
      <c r="D658" s="1031"/>
      <c r="E658" s="1031"/>
      <c r="F658" s="1031"/>
      <c r="G658" s="464" t="s">
        <v>61</v>
      </c>
      <c r="H658" s="431"/>
      <c r="I658" s="689">
        <v>9.64</v>
      </c>
      <c r="J658" s="689">
        <v>4.2300000000000004</v>
      </c>
      <c r="K658" s="689">
        <v>0.12</v>
      </c>
      <c r="L658" s="683"/>
      <c r="M658" s="683"/>
      <c r="N658" s="400">
        <f t="shared" si="25"/>
        <v>40.777200000000008</v>
      </c>
      <c r="O658" s="400"/>
    </row>
    <row r="659" spans="1:15" s="109" customFormat="1" ht="15" customHeight="1">
      <c r="A659" s="376"/>
      <c r="B659" s="376"/>
      <c r="C659" s="1031" t="s">
        <v>1755</v>
      </c>
      <c r="D659" s="1031"/>
      <c r="E659" s="1031"/>
      <c r="F659" s="1031"/>
      <c r="G659" s="464" t="s">
        <v>61</v>
      </c>
      <c r="H659" s="431"/>
      <c r="I659" s="689">
        <v>4.46</v>
      </c>
      <c r="J659" s="689">
        <v>2.0499999999999998</v>
      </c>
      <c r="K659" s="689">
        <v>0.12</v>
      </c>
      <c r="L659" s="683"/>
      <c r="M659" s="683"/>
      <c r="N659" s="400">
        <f t="shared" si="25"/>
        <v>9.1429999999999989</v>
      </c>
      <c r="O659" s="400"/>
    </row>
    <row r="660" spans="1:15" s="109" customFormat="1" ht="15" customHeight="1">
      <c r="A660" s="376"/>
      <c r="B660" s="376"/>
      <c r="C660" s="1031" t="s">
        <v>1756</v>
      </c>
      <c r="D660" s="1031"/>
      <c r="E660" s="1031"/>
      <c r="F660" s="1031"/>
      <c r="G660" s="464" t="s">
        <v>61</v>
      </c>
      <c r="H660" s="431"/>
      <c r="I660" s="689">
        <v>3.05</v>
      </c>
      <c r="J660" s="689">
        <v>2.0499999999999998</v>
      </c>
      <c r="K660" s="689">
        <v>0.12</v>
      </c>
      <c r="L660" s="683"/>
      <c r="M660" s="683"/>
      <c r="N660" s="400">
        <f t="shared" si="25"/>
        <v>6.2524999999999995</v>
      </c>
      <c r="O660" s="400"/>
    </row>
    <row r="661" spans="1:15" s="109" customFormat="1" ht="15" customHeight="1">
      <c r="A661" s="376"/>
      <c r="B661" s="376"/>
      <c r="C661" s="1031" t="s">
        <v>1757</v>
      </c>
      <c r="D661" s="1031"/>
      <c r="E661" s="1031"/>
      <c r="F661" s="1031"/>
      <c r="G661" s="464" t="s">
        <v>61</v>
      </c>
      <c r="H661" s="431"/>
      <c r="I661" s="689">
        <v>3.61</v>
      </c>
      <c r="J661" s="689">
        <v>2.0499999999999998</v>
      </c>
      <c r="K661" s="689">
        <v>0.12</v>
      </c>
      <c r="L661" s="683"/>
      <c r="M661" s="683"/>
      <c r="N661" s="400">
        <f t="shared" si="25"/>
        <v>7.4004999999999992</v>
      </c>
      <c r="O661" s="400"/>
    </row>
    <row r="662" spans="1:15" s="109" customFormat="1" ht="15" customHeight="1">
      <c r="A662" s="376"/>
      <c r="B662" s="376"/>
      <c r="C662" s="1031" t="s">
        <v>1758</v>
      </c>
      <c r="D662" s="1031"/>
      <c r="E662" s="1031"/>
      <c r="F662" s="1031"/>
      <c r="G662" s="464" t="s">
        <v>61</v>
      </c>
      <c r="H662" s="431"/>
      <c r="I662" s="689">
        <v>5.55</v>
      </c>
      <c r="J662" s="689">
        <v>2.17</v>
      </c>
      <c r="K662" s="689">
        <v>0.12</v>
      </c>
      <c r="L662" s="683"/>
      <c r="M662" s="683"/>
      <c r="N662" s="400">
        <f t="shared" si="25"/>
        <v>12.0435</v>
      </c>
      <c r="O662" s="400"/>
    </row>
    <row r="663" spans="1:15" s="109" customFormat="1" ht="15" customHeight="1">
      <c r="A663" s="376"/>
      <c r="B663" s="376"/>
      <c r="C663" s="1031" t="s">
        <v>1759</v>
      </c>
      <c r="D663" s="1031"/>
      <c r="E663" s="1031"/>
      <c r="F663" s="1031"/>
      <c r="G663" s="464" t="s">
        <v>61</v>
      </c>
      <c r="H663" s="431"/>
      <c r="I663" s="689">
        <v>5.34</v>
      </c>
      <c r="J663" s="689">
        <v>2.17</v>
      </c>
      <c r="K663" s="689">
        <v>0.12</v>
      </c>
      <c r="L663" s="683"/>
      <c r="M663" s="683"/>
      <c r="N663" s="400">
        <f t="shared" si="25"/>
        <v>11.5878</v>
      </c>
      <c r="O663" s="400"/>
    </row>
    <row r="664" spans="1:15" s="109" customFormat="1" ht="15" customHeight="1">
      <c r="A664" s="376"/>
      <c r="B664" s="376"/>
      <c r="C664" s="1031" t="s">
        <v>1760</v>
      </c>
      <c r="D664" s="1031"/>
      <c r="E664" s="1031"/>
      <c r="F664" s="1031"/>
      <c r="G664" s="464" t="s">
        <v>61</v>
      </c>
      <c r="H664" s="431"/>
      <c r="I664" s="689">
        <v>5.51</v>
      </c>
      <c r="J664" s="689">
        <v>2.8</v>
      </c>
      <c r="K664" s="689">
        <v>0.12</v>
      </c>
      <c r="L664" s="683"/>
      <c r="M664" s="683"/>
      <c r="N664" s="400">
        <f t="shared" si="25"/>
        <v>15.427999999999999</v>
      </c>
      <c r="O664" s="400"/>
    </row>
    <row r="665" spans="1:15" s="109" customFormat="1" ht="15" customHeight="1">
      <c r="A665" s="376"/>
      <c r="B665" s="376"/>
      <c r="C665" s="1031" t="s">
        <v>1761</v>
      </c>
      <c r="D665" s="1031"/>
      <c r="E665" s="1031"/>
      <c r="F665" s="1031"/>
      <c r="G665" s="464" t="s">
        <v>61</v>
      </c>
      <c r="H665" s="431"/>
      <c r="I665" s="689">
        <v>3.01</v>
      </c>
      <c r="J665" s="689">
        <v>4.8499999999999996</v>
      </c>
      <c r="K665" s="689">
        <v>0.12</v>
      </c>
      <c r="L665" s="683"/>
      <c r="M665" s="683"/>
      <c r="N665" s="400">
        <f t="shared" si="25"/>
        <v>14.598499999999998</v>
      </c>
      <c r="O665" s="400"/>
    </row>
    <row r="666" spans="1:15" s="109" customFormat="1" ht="15" customHeight="1">
      <c r="A666" s="376"/>
      <c r="B666" s="376"/>
      <c r="C666" s="1031" t="s">
        <v>1762</v>
      </c>
      <c r="D666" s="1031"/>
      <c r="E666" s="1031"/>
      <c r="F666" s="1031"/>
      <c r="G666" s="464" t="s">
        <v>61</v>
      </c>
      <c r="H666" s="431"/>
      <c r="I666" s="689">
        <v>5.34</v>
      </c>
      <c r="J666" s="689">
        <v>3.5</v>
      </c>
      <c r="K666" s="689">
        <v>0.12</v>
      </c>
      <c r="L666" s="683"/>
      <c r="M666" s="683"/>
      <c r="N666" s="400">
        <f t="shared" si="25"/>
        <v>18.689999999999998</v>
      </c>
      <c r="O666" s="400"/>
    </row>
    <row r="667" spans="1:15" s="109" customFormat="1" ht="15" customHeight="1">
      <c r="A667" s="376"/>
      <c r="B667" s="376"/>
      <c r="C667" s="1031" t="s">
        <v>1763</v>
      </c>
      <c r="D667" s="1031"/>
      <c r="E667" s="1031"/>
      <c r="F667" s="1031"/>
      <c r="G667" s="464" t="s">
        <v>61</v>
      </c>
      <c r="H667" s="431"/>
      <c r="I667" s="689">
        <v>3</v>
      </c>
      <c r="J667" s="689">
        <v>4.2300000000000004</v>
      </c>
      <c r="K667" s="689">
        <v>0.12</v>
      </c>
      <c r="L667" s="683"/>
      <c r="M667" s="683"/>
      <c r="N667" s="400">
        <f t="shared" si="25"/>
        <v>12.690000000000001</v>
      </c>
      <c r="O667" s="400"/>
    </row>
    <row r="668" spans="1:15" s="109" customFormat="1" ht="15" customHeight="1">
      <c r="A668" s="376"/>
      <c r="B668" s="376"/>
      <c r="C668" s="1031" t="s">
        <v>1764</v>
      </c>
      <c r="D668" s="1031"/>
      <c r="E668" s="1031"/>
      <c r="F668" s="1031"/>
      <c r="G668" s="464" t="s">
        <v>61</v>
      </c>
      <c r="H668" s="431"/>
      <c r="I668" s="689">
        <v>5.41</v>
      </c>
      <c r="J668" s="689">
        <v>3.5</v>
      </c>
      <c r="K668" s="689">
        <v>0.12</v>
      </c>
      <c r="L668" s="683"/>
      <c r="M668" s="683"/>
      <c r="N668" s="400">
        <f t="shared" si="25"/>
        <v>18.935000000000002</v>
      </c>
      <c r="O668" s="400"/>
    </row>
    <row r="669" spans="1:15" s="109" customFormat="1" ht="15" customHeight="1">
      <c r="A669" s="376"/>
      <c r="B669" s="376"/>
      <c r="C669" s="1031" t="s">
        <v>1765</v>
      </c>
      <c r="D669" s="1031"/>
      <c r="E669" s="1031"/>
      <c r="F669" s="1031"/>
      <c r="G669" s="464" t="s">
        <v>61</v>
      </c>
      <c r="H669" s="431"/>
      <c r="I669" s="689">
        <v>3.21</v>
      </c>
      <c r="J669" s="689">
        <v>7.3</v>
      </c>
      <c r="K669" s="689">
        <v>0.12</v>
      </c>
      <c r="L669" s="683"/>
      <c r="M669" s="683"/>
      <c r="N669" s="400">
        <f t="shared" si="25"/>
        <v>23.433</v>
      </c>
      <c r="O669" s="400"/>
    </row>
    <row r="670" spans="1:15" s="109" customFormat="1" ht="15" customHeight="1">
      <c r="A670" s="376"/>
      <c r="B670" s="376"/>
      <c r="C670" s="1031" t="s">
        <v>1766</v>
      </c>
      <c r="D670" s="1031"/>
      <c r="E670" s="1031"/>
      <c r="F670" s="1031"/>
      <c r="G670" s="464" t="s">
        <v>61</v>
      </c>
      <c r="H670" s="431"/>
      <c r="I670" s="689">
        <v>5.51</v>
      </c>
      <c r="J670" s="689">
        <v>1.91</v>
      </c>
      <c r="K670" s="689">
        <v>0.12</v>
      </c>
      <c r="L670" s="683"/>
      <c r="M670" s="683"/>
      <c r="N670" s="400">
        <f t="shared" si="25"/>
        <v>10.524099999999999</v>
      </c>
      <c r="O670" s="400"/>
    </row>
    <row r="671" spans="1:15" s="109" customFormat="1" ht="15" customHeight="1">
      <c r="A671" s="376"/>
      <c r="B671" s="376"/>
      <c r="C671" s="1031" t="s">
        <v>1767</v>
      </c>
      <c r="D671" s="1031"/>
      <c r="E671" s="1031"/>
      <c r="F671" s="1031"/>
      <c r="G671" s="464" t="s">
        <v>61</v>
      </c>
      <c r="H671" s="431"/>
      <c r="I671" s="689"/>
      <c r="J671" s="689"/>
      <c r="K671" s="689">
        <v>0.12</v>
      </c>
      <c r="L671" s="683"/>
      <c r="M671" s="683"/>
      <c r="N671" s="400">
        <v>5.29</v>
      </c>
      <c r="O671" s="400"/>
    </row>
    <row r="672" spans="1:15" s="109" customFormat="1" ht="15" customHeight="1">
      <c r="A672" s="376"/>
      <c r="B672" s="376"/>
      <c r="C672" s="1031" t="s">
        <v>1768</v>
      </c>
      <c r="D672" s="1031"/>
      <c r="E672" s="1031"/>
      <c r="F672" s="1031"/>
      <c r="G672" s="464" t="s">
        <v>61</v>
      </c>
      <c r="H672" s="431"/>
      <c r="I672" s="689">
        <v>3.21</v>
      </c>
      <c r="J672" s="689">
        <v>10.01</v>
      </c>
      <c r="K672" s="689">
        <v>0.12</v>
      </c>
      <c r="L672" s="683"/>
      <c r="M672" s="683"/>
      <c r="N672" s="400">
        <f t="shared" ref="N672:N700" si="26">I672*J672</f>
        <v>32.132100000000001</v>
      </c>
      <c r="O672" s="400"/>
    </row>
    <row r="673" spans="1:15" s="109" customFormat="1" ht="15" customHeight="1">
      <c r="A673" s="376"/>
      <c r="B673" s="376"/>
      <c r="C673" s="1031" t="s">
        <v>1769</v>
      </c>
      <c r="D673" s="1031"/>
      <c r="E673" s="1031"/>
      <c r="F673" s="1031"/>
      <c r="G673" s="464" t="s">
        <v>61</v>
      </c>
      <c r="H673" s="431"/>
      <c r="I673" s="689">
        <v>3.41</v>
      </c>
      <c r="J673" s="689">
        <v>7.83</v>
      </c>
      <c r="K673" s="689">
        <v>0.12</v>
      </c>
      <c r="L673" s="683"/>
      <c r="M673" s="683"/>
      <c r="N673" s="400">
        <f t="shared" si="26"/>
        <v>26.700300000000002</v>
      </c>
      <c r="O673" s="400"/>
    </row>
    <row r="674" spans="1:15" s="109" customFormat="1" ht="15" customHeight="1">
      <c r="A674" s="376"/>
      <c r="B674" s="376"/>
      <c r="C674" s="1031" t="s">
        <v>1770</v>
      </c>
      <c r="D674" s="1031"/>
      <c r="E674" s="1031"/>
      <c r="F674" s="1031"/>
      <c r="G674" s="464" t="s">
        <v>61</v>
      </c>
      <c r="H674" s="431"/>
      <c r="I674" s="689">
        <v>3.21</v>
      </c>
      <c r="J674" s="689">
        <v>10.01</v>
      </c>
      <c r="K674" s="689">
        <v>0.12</v>
      </c>
      <c r="L674" s="683"/>
      <c r="M674" s="683"/>
      <c r="N674" s="400">
        <f t="shared" si="26"/>
        <v>32.132100000000001</v>
      </c>
      <c r="O674" s="400"/>
    </row>
    <row r="675" spans="1:15" s="109" customFormat="1" ht="15" customHeight="1">
      <c r="A675" s="376"/>
      <c r="B675" s="376"/>
      <c r="C675" s="1031" t="s">
        <v>1771</v>
      </c>
      <c r="D675" s="1031"/>
      <c r="E675" s="1031"/>
      <c r="F675" s="1031"/>
      <c r="G675" s="464" t="s">
        <v>61</v>
      </c>
      <c r="H675" s="431"/>
      <c r="I675" s="689">
        <v>3.05</v>
      </c>
      <c r="J675" s="689">
        <v>7.83</v>
      </c>
      <c r="K675" s="689">
        <v>0.12</v>
      </c>
      <c r="L675" s="683"/>
      <c r="M675" s="683"/>
      <c r="N675" s="400">
        <f t="shared" si="26"/>
        <v>23.881499999999999</v>
      </c>
      <c r="O675" s="400"/>
    </row>
    <row r="676" spans="1:15" s="109" customFormat="1" ht="15" customHeight="1">
      <c r="A676" s="376"/>
      <c r="B676" s="376"/>
      <c r="C676" s="1031" t="s">
        <v>1772</v>
      </c>
      <c r="D676" s="1031"/>
      <c r="E676" s="1031"/>
      <c r="F676" s="1031"/>
      <c r="G676" s="464" t="s">
        <v>61</v>
      </c>
      <c r="H676" s="431"/>
      <c r="I676" s="689">
        <v>3.11</v>
      </c>
      <c r="J676" s="689">
        <v>2.71</v>
      </c>
      <c r="K676" s="689">
        <v>0.12</v>
      </c>
      <c r="L676" s="683"/>
      <c r="M676" s="683"/>
      <c r="N676" s="400">
        <f t="shared" si="26"/>
        <v>8.4280999999999988</v>
      </c>
      <c r="O676" s="400"/>
    </row>
    <row r="677" spans="1:15" s="109" customFormat="1" ht="15" customHeight="1">
      <c r="A677" s="376"/>
      <c r="B677" s="376"/>
      <c r="C677" s="1031" t="s">
        <v>1773</v>
      </c>
      <c r="D677" s="1031"/>
      <c r="E677" s="1031"/>
      <c r="F677" s="1031"/>
      <c r="G677" s="464" t="s">
        <v>61</v>
      </c>
      <c r="H677" s="431"/>
      <c r="I677" s="689">
        <v>3.95</v>
      </c>
      <c r="J677" s="689">
        <v>2.71</v>
      </c>
      <c r="K677" s="689">
        <v>0.12</v>
      </c>
      <c r="L677" s="683"/>
      <c r="M677" s="683"/>
      <c r="N677" s="400">
        <f t="shared" si="26"/>
        <v>10.704499999999999</v>
      </c>
      <c r="O677" s="400"/>
    </row>
    <row r="678" spans="1:15" s="109" customFormat="1" ht="15" customHeight="1">
      <c r="A678" s="376"/>
      <c r="B678" s="376"/>
      <c r="C678" s="1031" t="s">
        <v>1774</v>
      </c>
      <c r="D678" s="1031"/>
      <c r="E678" s="1031"/>
      <c r="F678" s="1031"/>
      <c r="G678" s="464" t="s">
        <v>61</v>
      </c>
      <c r="H678" s="431"/>
      <c r="I678" s="689">
        <v>3.76</v>
      </c>
      <c r="J678" s="689">
        <v>1.81</v>
      </c>
      <c r="K678" s="689">
        <v>0.12</v>
      </c>
      <c r="L678" s="683"/>
      <c r="M678" s="683"/>
      <c r="N678" s="400">
        <f t="shared" si="26"/>
        <v>6.8056000000000001</v>
      </c>
      <c r="O678" s="400"/>
    </row>
    <row r="679" spans="1:15" s="109" customFormat="1" ht="15" customHeight="1">
      <c r="A679" s="376"/>
      <c r="B679" s="376"/>
      <c r="C679" s="1031" t="s">
        <v>1775</v>
      </c>
      <c r="D679" s="1031"/>
      <c r="E679" s="1031"/>
      <c r="F679" s="1031"/>
      <c r="G679" s="464" t="s">
        <v>61</v>
      </c>
      <c r="H679" s="431"/>
      <c r="I679" s="689">
        <v>1.91</v>
      </c>
      <c r="J679" s="689">
        <v>3.46</v>
      </c>
      <c r="K679" s="689">
        <v>0.12</v>
      </c>
      <c r="L679" s="400"/>
      <c r="M679" s="682"/>
      <c r="N679" s="400">
        <f t="shared" si="26"/>
        <v>6.6086</v>
      </c>
      <c r="O679" s="400"/>
    </row>
    <row r="680" spans="1:15" s="109" customFormat="1" ht="15" customHeight="1">
      <c r="A680" s="376"/>
      <c r="B680" s="376"/>
      <c r="C680" s="1031" t="s">
        <v>1776</v>
      </c>
      <c r="D680" s="1031"/>
      <c r="E680" s="1031"/>
      <c r="F680" s="1031"/>
      <c r="G680" s="464" t="s">
        <v>61</v>
      </c>
      <c r="H680" s="431"/>
      <c r="I680" s="689">
        <v>3.76</v>
      </c>
      <c r="J680" s="689">
        <v>1.51</v>
      </c>
      <c r="K680" s="689">
        <v>0.12</v>
      </c>
      <c r="L680" s="683"/>
      <c r="M680" s="683"/>
      <c r="N680" s="400">
        <f t="shared" si="26"/>
        <v>5.6776</v>
      </c>
      <c r="O680" s="400"/>
    </row>
    <row r="681" spans="1:15" s="109" customFormat="1" ht="15" customHeight="1">
      <c r="A681" s="376"/>
      <c r="B681" s="376"/>
      <c r="C681" s="1031" t="s">
        <v>1777</v>
      </c>
      <c r="D681" s="1031"/>
      <c r="E681" s="1031"/>
      <c r="F681" s="1031"/>
      <c r="G681" s="464" t="s">
        <v>61</v>
      </c>
      <c r="H681" s="431"/>
      <c r="I681" s="689">
        <v>7.06</v>
      </c>
      <c r="J681" s="689">
        <v>1.21</v>
      </c>
      <c r="K681" s="689">
        <v>0.12</v>
      </c>
      <c r="L681" s="683"/>
      <c r="M681" s="683"/>
      <c r="N681" s="400">
        <f t="shared" si="26"/>
        <v>8.5425999999999984</v>
      </c>
      <c r="O681" s="400"/>
    </row>
    <row r="682" spans="1:15" s="109" customFormat="1" ht="15" customHeight="1">
      <c r="A682" s="376"/>
      <c r="B682" s="376"/>
      <c r="C682" s="1031" t="s">
        <v>1778</v>
      </c>
      <c r="D682" s="1031"/>
      <c r="E682" s="1031"/>
      <c r="F682" s="1031"/>
      <c r="G682" s="464" t="s">
        <v>61</v>
      </c>
      <c r="H682" s="431"/>
      <c r="I682" s="689">
        <v>3.76</v>
      </c>
      <c r="J682" s="689">
        <v>1.1100000000000001</v>
      </c>
      <c r="K682" s="689">
        <v>0.12</v>
      </c>
      <c r="L682" s="683"/>
      <c r="M682" s="683"/>
      <c r="N682" s="400">
        <f t="shared" si="26"/>
        <v>4.1736000000000004</v>
      </c>
      <c r="O682" s="400"/>
    </row>
    <row r="683" spans="1:15" s="109" customFormat="1" ht="15" customHeight="1">
      <c r="A683" s="376"/>
      <c r="B683" s="376"/>
      <c r="C683" s="1032" t="s">
        <v>1779</v>
      </c>
      <c r="D683" s="1032"/>
      <c r="E683" s="1032"/>
      <c r="F683" s="1032"/>
      <c r="G683" s="464"/>
      <c r="H683" s="431"/>
      <c r="I683" s="689"/>
      <c r="J683" s="689"/>
      <c r="K683" s="689"/>
      <c r="L683" s="683"/>
      <c r="M683" s="683"/>
      <c r="N683" s="400">
        <f t="shared" si="26"/>
        <v>0</v>
      </c>
      <c r="O683" s="400"/>
    </row>
    <row r="684" spans="1:15" s="109" customFormat="1" ht="15" customHeight="1">
      <c r="A684" s="376"/>
      <c r="B684" s="376"/>
      <c r="C684" s="1031" t="s">
        <v>1780</v>
      </c>
      <c r="D684" s="1031"/>
      <c r="E684" s="1031"/>
      <c r="F684" s="1031"/>
      <c r="G684" s="464" t="s">
        <v>61</v>
      </c>
      <c r="H684" s="431"/>
      <c r="I684" s="689">
        <v>3.01</v>
      </c>
      <c r="J684" s="689">
        <v>2.71</v>
      </c>
      <c r="K684" s="689">
        <v>0.12</v>
      </c>
      <c r="L684" s="683"/>
      <c r="M684" s="683"/>
      <c r="N684" s="400">
        <f t="shared" si="26"/>
        <v>8.1570999999999998</v>
      </c>
      <c r="O684" s="400"/>
    </row>
    <row r="685" spans="1:15" s="109" customFormat="1" ht="15" customHeight="1">
      <c r="A685" s="376"/>
      <c r="B685" s="376"/>
      <c r="C685" s="1031" t="s">
        <v>1781</v>
      </c>
      <c r="D685" s="1031"/>
      <c r="E685" s="1031"/>
      <c r="F685" s="1031"/>
      <c r="G685" s="464" t="s">
        <v>61</v>
      </c>
      <c r="H685" s="431"/>
      <c r="I685" s="689">
        <v>3.01</v>
      </c>
      <c r="J685" s="689">
        <v>2.71</v>
      </c>
      <c r="K685" s="689">
        <v>0.12</v>
      </c>
      <c r="L685" s="683"/>
      <c r="M685" s="683"/>
      <c r="N685" s="400">
        <f t="shared" si="26"/>
        <v>8.1570999999999998</v>
      </c>
      <c r="O685" s="400"/>
    </row>
    <row r="686" spans="1:15" s="109" customFormat="1" ht="15" customHeight="1">
      <c r="A686" s="376"/>
      <c r="B686" s="376"/>
      <c r="C686" s="1031" t="s">
        <v>1782</v>
      </c>
      <c r="D686" s="1031"/>
      <c r="E686" s="1031"/>
      <c r="F686" s="1031"/>
      <c r="G686" s="464" t="s">
        <v>61</v>
      </c>
      <c r="H686" s="431"/>
      <c r="I686" s="689">
        <v>4.0599999999999996</v>
      </c>
      <c r="J686" s="689">
        <v>2.71</v>
      </c>
      <c r="K686" s="689">
        <v>0.12</v>
      </c>
      <c r="L686" s="683"/>
      <c r="M686" s="683"/>
      <c r="N686" s="400">
        <f t="shared" si="26"/>
        <v>11.002599999999999</v>
      </c>
      <c r="O686" s="400"/>
    </row>
    <row r="687" spans="1:15" s="109" customFormat="1" ht="15" customHeight="1">
      <c r="A687" s="376"/>
      <c r="B687" s="376"/>
      <c r="C687" s="1031" t="s">
        <v>1783</v>
      </c>
      <c r="D687" s="1031"/>
      <c r="E687" s="1031"/>
      <c r="F687" s="1031"/>
      <c r="G687" s="464" t="s">
        <v>61</v>
      </c>
      <c r="H687" s="431"/>
      <c r="I687" s="689">
        <v>2.5099999999999998</v>
      </c>
      <c r="J687" s="689">
        <v>2.68</v>
      </c>
      <c r="K687" s="689">
        <v>0.12</v>
      </c>
      <c r="L687" s="683"/>
      <c r="M687" s="683"/>
      <c r="N687" s="400">
        <f t="shared" si="26"/>
        <v>6.7267999999999999</v>
      </c>
      <c r="O687" s="400"/>
    </row>
    <row r="688" spans="1:15" s="109" customFormat="1" ht="15" customHeight="1">
      <c r="A688" s="376"/>
      <c r="B688" s="376"/>
      <c r="C688" s="1031" t="s">
        <v>1784</v>
      </c>
      <c r="D688" s="1031"/>
      <c r="E688" s="1031"/>
      <c r="F688" s="1031"/>
      <c r="G688" s="464" t="s">
        <v>61</v>
      </c>
      <c r="H688" s="431"/>
      <c r="I688" s="689">
        <v>2.5099999999999998</v>
      </c>
      <c r="J688" s="689">
        <v>2.4</v>
      </c>
      <c r="K688" s="689">
        <v>0.12</v>
      </c>
      <c r="L688" s="683"/>
      <c r="M688" s="683"/>
      <c r="N688" s="400">
        <f t="shared" si="26"/>
        <v>6.0239999999999991</v>
      </c>
      <c r="O688" s="400"/>
    </row>
    <row r="689" spans="1:15" s="109" customFormat="1" ht="15" customHeight="1">
      <c r="A689" s="376"/>
      <c r="B689" s="376"/>
      <c r="C689" s="1031" t="s">
        <v>1785</v>
      </c>
      <c r="D689" s="1031"/>
      <c r="E689" s="1031"/>
      <c r="F689" s="1031"/>
      <c r="G689" s="464" t="s">
        <v>61</v>
      </c>
      <c r="H689" s="431"/>
      <c r="I689" s="689">
        <v>3.36</v>
      </c>
      <c r="J689" s="689">
        <v>2.09</v>
      </c>
      <c r="K689" s="689">
        <v>0.12</v>
      </c>
      <c r="L689" s="683"/>
      <c r="M689" s="683"/>
      <c r="N689" s="400">
        <f t="shared" si="26"/>
        <v>7.0223999999999993</v>
      </c>
      <c r="O689" s="400"/>
    </row>
    <row r="690" spans="1:15" s="109" customFormat="1" ht="15" customHeight="1">
      <c r="A690" s="376"/>
      <c r="B690" s="376"/>
      <c r="C690" s="1031" t="s">
        <v>1786</v>
      </c>
      <c r="D690" s="1031"/>
      <c r="E690" s="1031"/>
      <c r="F690" s="1031"/>
      <c r="G690" s="464" t="s">
        <v>61</v>
      </c>
      <c r="H690" s="431"/>
      <c r="I690" s="689">
        <v>3.06</v>
      </c>
      <c r="J690" s="689">
        <v>2.7</v>
      </c>
      <c r="K690" s="689">
        <v>0.12</v>
      </c>
      <c r="L690" s="683"/>
      <c r="M690" s="683"/>
      <c r="N690" s="400">
        <f t="shared" si="26"/>
        <v>8.2620000000000005</v>
      </c>
      <c r="O690" s="400"/>
    </row>
    <row r="691" spans="1:15" s="109" customFormat="1" ht="15" customHeight="1">
      <c r="A691" s="376"/>
      <c r="B691" s="376"/>
      <c r="C691" s="1031" t="s">
        <v>1787</v>
      </c>
      <c r="D691" s="1031"/>
      <c r="E691" s="1031"/>
      <c r="F691" s="1031"/>
      <c r="G691" s="464" t="s">
        <v>61</v>
      </c>
      <c r="H691" s="431"/>
      <c r="I691" s="689">
        <v>3.36</v>
      </c>
      <c r="J691" s="689">
        <v>2.7</v>
      </c>
      <c r="K691" s="689">
        <v>0.12</v>
      </c>
      <c r="L691" s="683"/>
      <c r="M691" s="683"/>
      <c r="N691" s="400">
        <f t="shared" si="26"/>
        <v>9.072000000000001</v>
      </c>
      <c r="O691" s="400"/>
    </row>
    <row r="692" spans="1:15" s="109" customFormat="1" ht="15" customHeight="1">
      <c r="A692" s="376"/>
      <c r="B692" s="376"/>
      <c r="C692" s="1031" t="s">
        <v>1788</v>
      </c>
      <c r="D692" s="1031"/>
      <c r="E692" s="1031"/>
      <c r="F692" s="1031"/>
      <c r="G692" s="464" t="s">
        <v>61</v>
      </c>
      <c r="H692" s="431"/>
      <c r="I692" s="689">
        <v>4.08</v>
      </c>
      <c r="J692" s="689">
        <v>2.71</v>
      </c>
      <c r="K692" s="689">
        <v>0.12</v>
      </c>
      <c r="L692" s="683"/>
      <c r="M692" s="683"/>
      <c r="N692" s="400">
        <f t="shared" si="26"/>
        <v>11.056800000000001</v>
      </c>
      <c r="O692" s="400"/>
    </row>
    <row r="693" spans="1:15" s="109" customFormat="1" ht="15" customHeight="1">
      <c r="A693" s="376"/>
      <c r="B693" s="376"/>
      <c r="C693" s="1031" t="s">
        <v>1789</v>
      </c>
      <c r="D693" s="1031"/>
      <c r="E693" s="1031"/>
      <c r="F693" s="1031"/>
      <c r="G693" s="464" t="s">
        <v>61</v>
      </c>
      <c r="H693" s="431"/>
      <c r="I693" s="689">
        <v>2.5099999999999998</v>
      </c>
      <c r="J693" s="689">
        <v>2.4</v>
      </c>
      <c r="K693" s="689">
        <v>0.12</v>
      </c>
      <c r="L693" s="683"/>
      <c r="M693" s="683"/>
      <c r="N693" s="400">
        <f t="shared" si="26"/>
        <v>6.0239999999999991</v>
      </c>
      <c r="O693" s="400"/>
    </row>
    <row r="694" spans="1:15" s="109" customFormat="1" ht="15" customHeight="1">
      <c r="A694" s="376"/>
      <c r="B694" s="376"/>
      <c r="C694" s="1031" t="s">
        <v>1790</v>
      </c>
      <c r="D694" s="1031"/>
      <c r="E694" s="1031"/>
      <c r="F694" s="1031"/>
      <c r="G694" s="464" t="s">
        <v>61</v>
      </c>
      <c r="H694" s="431"/>
      <c r="I694" s="689">
        <v>3.47</v>
      </c>
      <c r="J694" s="689">
        <v>4.59</v>
      </c>
      <c r="K694" s="689">
        <v>0.12</v>
      </c>
      <c r="L694" s="683"/>
      <c r="M694" s="683"/>
      <c r="N694" s="400">
        <f t="shared" si="26"/>
        <v>15.927300000000001</v>
      </c>
      <c r="O694" s="400"/>
    </row>
    <row r="695" spans="1:15" s="109" customFormat="1" ht="15" customHeight="1">
      <c r="A695" s="376"/>
      <c r="B695" s="376"/>
      <c r="C695" s="1031" t="s">
        <v>1791</v>
      </c>
      <c r="D695" s="1031"/>
      <c r="E695" s="1031"/>
      <c r="F695" s="1031"/>
      <c r="G695" s="464" t="s">
        <v>61</v>
      </c>
      <c r="H695" s="431"/>
      <c r="I695" s="689">
        <v>3.61</v>
      </c>
      <c r="J695" s="689">
        <v>6.4</v>
      </c>
      <c r="K695" s="689">
        <v>0.12</v>
      </c>
      <c r="L695" s="683"/>
      <c r="M695" s="683"/>
      <c r="N695" s="400">
        <f t="shared" si="26"/>
        <v>23.103999999999999</v>
      </c>
      <c r="O695" s="400"/>
    </row>
    <row r="696" spans="1:15" s="109" customFormat="1" ht="15" customHeight="1">
      <c r="A696" s="376"/>
      <c r="B696" s="376"/>
      <c r="C696" s="1031" t="s">
        <v>1792</v>
      </c>
      <c r="D696" s="1031"/>
      <c r="E696" s="1031"/>
      <c r="F696" s="1031"/>
      <c r="G696" s="464" t="s">
        <v>61</v>
      </c>
      <c r="H696" s="431"/>
      <c r="I696" s="689">
        <v>3.61</v>
      </c>
      <c r="J696" s="689">
        <v>6.68</v>
      </c>
      <c r="K696" s="689">
        <v>0.12</v>
      </c>
      <c r="L696" s="683"/>
      <c r="M696" s="683"/>
      <c r="N696" s="400">
        <f t="shared" si="26"/>
        <v>24.114799999999999</v>
      </c>
      <c r="O696" s="400"/>
    </row>
    <row r="697" spans="1:15" s="109" customFormat="1" ht="15" customHeight="1">
      <c r="A697" s="376"/>
      <c r="B697" s="376"/>
      <c r="C697" s="1031" t="s">
        <v>1793</v>
      </c>
      <c r="D697" s="1031"/>
      <c r="E697" s="1031"/>
      <c r="F697" s="1031"/>
      <c r="G697" s="464" t="s">
        <v>61</v>
      </c>
      <c r="H697" s="431"/>
      <c r="I697" s="689">
        <v>3.61</v>
      </c>
      <c r="J697" s="689">
        <v>6.68</v>
      </c>
      <c r="K697" s="689">
        <v>0.12</v>
      </c>
      <c r="L697" s="683"/>
      <c r="M697" s="683"/>
      <c r="N697" s="400">
        <f t="shared" si="26"/>
        <v>24.114799999999999</v>
      </c>
      <c r="O697" s="400"/>
    </row>
    <row r="698" spans="1:15" s="109" customFormat="1" ht="15" customHeight="1">
      <c r="A698" s="376"/>
      <c r="B698" s="376"/>
      <c r="C698" s="1031" t="s">
        <v>1794</v>
      </c>
      <c r="D698" s="1031"/>
      <c r="E698" s="1031"/>
      <c r="F698" s="1031"/>
      <c r="G698" s="464" t="s">
        <v>61</v>
      </c>
      <c r="H698" s="431"/>
      <c r="I698" s="689">
        <v>3.61</v>
      </c>
      <c r="J698" s="689">
        <v>6.68</v>
      </c>
      <c r="K698" s="689">
        <v>0.12</v>
      </c>
      <c r="L698" s="683"/>
      <c r="M698" s="683"/>
      <c r="N698" s="400">
        <f t="shared" si="26"/>
        <v>24.114799999999999</v>
      </c>
      <c r="O698" s="400"/>
    </row>
    <row r="699" spans="1:15" s="109" customFormat="1" ht="15" customHeight="1">
      <c r="A699" s="376"/>
      <c r="B699" s="376"/>
      <c r="C699" s="1031" t="s">
        <v>1795</v>
      </c>
      <c r="D699" s="1031"/>
      <c r="E699" s="1031"/>
      <c r="F699" s="1031"/>
      <c r="G699" s="464" t="s">
        <v>61</v>
      </c>
      <c r="H699" s="431"/>
      <c r="I699" s="689">
        <v>3.01</v>
      </c>
      <c r="J699" s="689">
        <v>1.77</v>
      </c>
      <c r="K699" s="689">
        <v>0.12</v>
      </c>
      <c r="L699" s="683"/>
      <c r="M699" s="683"/>
      <c r="N699" s="400">
        <f t="shared" si="26"/>
        <v>5.3277000000000001</v>
      </c>
      <c r="O699" s="400"/>
    </row>
    <row r="700" spans="1:15" s="109" customFormat="1" ht="15" customHeight="1">
      <c r="A700" s="376"/>
      <c r="B700" s="376"/>
      <c r="C700" s="1031" t="s">
        <v>1796</v>
      </c>
      <c r="D700" s="1031"/>
      <c r="E700" s="1031"/>
      <c r="F700" s="1031"/>
      <c r="G700" s="464" t="s">
        <v>61</v>
      </c>
      <c r="H700" s="431"/>
      <c r="I700" s="689">
        <v>3.18</v>
      </c>
      <c r="J700" s="689">
        <v>3.88</v>
      </c>
      <c r="K700" s="689">
        <v>0.12</v>
      </c>
      <c r="L700" s="683"/>
      <c r="M700" s="683"/>
      <c r="N700" s="400">
        <f t="shared" si="26"/>
        <v>12.3384</v>
      </c>
      <c r="O700" s="400"/>
    </row>
    <row r="701" spans="1:15" s="109" customFormat="1" ht="15" customHeight="1">
      <c r="A701" s="376"/>
      <c r="B701" s="376"/>
      <c r="C701" s="1028" t="s">
        <v>1558</v>
      </c>
      <c r="D701" s="1028"/>
      <c r="E701" s="1028"/>
      <c r="F701" s="1028"/>
      <c r="G701" s="442"/>
      <c r="H701" s="609"/>
      <c r="I701" s="609"/>
      <c r="J701" s="609"/>
      <c r="K701" s="610"/>
      <c r="L701" s="610"/>
      <c r="M701" s="610"/>
      <c r="N701" s="680"/>
      <c r="O701" s="680"/>
    </row>
    <row r="702" spans="1:15" s="109" customFormat="1" ht="15" customHeight="1">
      <c r="A702" s="376"/>
      <c r="B702" s="376"/>
      <c r="C702" s="1009" t="s">
        <v>1722</v>
      </c>
      <c r="D702" s="1009"/>
      <c r="E702" s="1009"/>
      <c r="F702" s="1009"/>
      <c r="G702" s="464" t="s">
        <v>61</v>
      </c>
      <c r="H702" s="609">
        <v>2</v>
      </c>
      <c r="I702" s="609">
        <v>2.5</v>
      </c>
      <c r="J702" s="609">
        <v>6</v>
      </c>
      <c r="K702" s="610">
        <f>0.5+1.7+0.15</f>
        <v>2.35</v>
      </c>
      <c r="L702" s="610"/>
      <c r="M702" s="610"/>
      <c r="N702" s="680">
        <f>((I702+J702)*2)*K702*H702</f>
        <v>79.900000000000006</v>
      </c>
      <c r="O702" s="680">
        <f>I702*J702*K702*0.1</f>
        <v>3.5250000000000004</v>
      </c>
    </row>
    <row r="703" spans="1:15" s="109" customFormat="1" ht="15" customHeight="1">
      <c r="A703" s="376"/>
      <c r="B703" s="376"/>
      <c r="C703" s="1009" t="s">
        <v>1797</v>
      </c>
      <c r="D703" s="1009"/>
      <c r="E703" s="1009"/>
      <c r="F703" s="1009"/>
      <c r="G703" s="464" t="s">
        <v>61</v>
      </c>
      <c r="H703" s="609"/>
      <c r="I703" s="609">
        <v>2.5</v>
      </c>
      <c r="J703" s="609">
        <v>6</v>
      </c>
      <c r="K703" s="610">
        <f>0.5+1.7+0.15</f>
        <v>2.35</v>
      </c>
      <c r="L703" s="610"/>
      <c r="M703" s="610"/>
      <c r="N703" s="680">
        <f>I703*J703</f>
        <v>15</v>
      </c>
      <c r="O703" s="680"/>
    </row>
    <row r="704" spans="1:15" s="109" customFormat="1" ht="15" customHeight="1">
      <c r="A704" s="376"/>
      <c r="B704" s="376"/>
      <c r="C704" s="1009" t="s">
        <v>1724</v>
      </c>
      <c r="D704" s="1009"/>
      <c r="E704" s="1009"/>
      <c r="F704" s="1009"/>
      <c r="G704" s="464" t="s">
        <v>61</v>
      </c>
      <c r="H704" s="609">
        <v>2</v>
      </c>
      <c r="I704" s="609">
        <v>1.5</v>
      </c>
      <c r="J704" s="609">
        <v>1.8</v>
      </c>
      <c r="K704" s="610">
        <v>0.6</v>
      </c>
      <c r="L704" s="610"/>
      <c r="M704" s="610"/>
      <c r="N704" s="680">
        <f>((I704+J704)*2)*K704*H704</f>
        <v>7.919999999999999</v>
      </c>
      <c r="O704" s="680">
        <f>I704*J704*K704*0.1</f>
        <v>0.16200000000000003</v>
      </c>
    </row>
    <row r="705" spans="1:15" s="109" customFormat="1" ht="15" customHeight="1">
      <c r="A705" s="376"/>
      <c r="B705" s="376"/>
      <c r="C705" s="1009" t="s">
        <v>1798</v>
      </c>
      <c r="D705" s="1009"/>
      <c r="E705" s="1009"/>
      <c r="F705" s="1009"/>
      <c r="G705" s="464" t="s">
        <v>61</v>
      </c>
      <c r="H705" s="609"/>
      <c r="I705" s="609">
        <v>1.5</v>
      </c>
      <c r="J705" s="609">
        <v>1.8</v>
      </c>
      <c r="K705" s="610">
        <v>0.6</v>
      </c>
      <c r="L705" s="610"/>
      <c r="M705" s="610"/>
      <c r="N705" s="680">
        <f>I705*J705</f>
        <v>2.7</v>
      </c>
      <c r="O705" s="680"/>
    </row>
    <row r="706" spans="1:15" s="109" customFormat="1" ht="15" customHeight="1">
      <c r="A706" s="376"/>
      <c r="B706" s="376"/>
      <c r="C706" s="1028" t="s">
        <v>1561</v>
      </c>
      <c r="D706" s="1028"/>
      <c r="E706" s="1028"/>
      <c r="F706" s="1028"/>
      <c r="G706" s="442"/>
      <c r="H706" s="609"/>
      <c r="I706" s="609"/>
      <c r="J706" s="609"/>
      <c r="K706" s="610"/>
      <c r="L706" s="610"/>
      <c r="M706" s="610"/>
      <c r="N706" s="680"/>
      <c r="O706" s="680"/>
    </row>
    <row r="707" spans="1:15" s="109" customFormat="1" ht="15" customHeight="1">
      <c r="A707" s="376"/>
      <c r="B707" s="376"/>
      <c r="C707" s="1009" t="s">
        <v>1726</v>
      </c>
      <c r="D707" s="1009"/>
      <c r="E707" s="1009"/>
      <c r="F707" s="1009"/>
      <c r="G707" s="464" t="s">
        <v>61</v>
      </c>
      <c r="H707" s="609">
        <v>4</v>
      </c>
      <c r="I707" s="609"/>
      <c r="J707" s="609"/>
      <c r="K707" s="610">
        <v>18</v>
      </c>
      <c r="L707" s="610"/>
      <c r="M707" s="610"/>
      <c r="N707" s="680">
        <f>0.65*0.65*3.14*H707</f>
        <v>5.3066000000000004</v>
      </c>
      <c r="O707" s="680">
        <f>N707*K707*H707*0.1</f>
        <v>38.207520000000009</v>
      </c>
    </row>
    <row r="708" spans="1:15" s="109" customFormat="1" ht="15" customHeight="1">
      <c r="A708" s="376"/>
      <c r="B708" s="376"/>
      <c r="C708" s="1009" t="s">
        <v>1727</v>
      </c>
      <c r="D708" s="1009"/>
      <c r="E708" s="1009"/>
      <c r="F708" s="1009"/>
      <c r="G708" s="464" t="s">
        <v>61</v>
      </c>
      <c r="H708" s="609">
        <v>2</v>
      </c>
      <c r="I708" s="609">
        <v>2.2000000000000002</v>
      </c>
      <c r="J708" s="609">
        <v>3.9</v>
      </c>
      <c r="K708" s="610">
        <v>3.45</v>
      </c>
      <c r="L708" s="610"/>
      <c r="M708" s="610"/>
      <c r="N708" s="680">
        <f>((I708+J708)*2)*K708*H708</f>
        <v>84.179999999999993</v>
      </c>
      <c r="O708" s="680">
        <f>I708*J708*K708*0.1</f>
        <v>2.9601000000000006</v>
      </c>
    </row>
    <row r="709" spans="1:15" s="109" customFormat="1" ht="15" customHeight="1">
      <c r="A709" s="376"/>
      <c r="B709" s="376"/>
      <c r="C709" s="1009" t="s">
        <v>1799</v>
      </c>
      <c r="D709" s="1009"/>
      <c r="E709" s="1009"/>
      <c r="F709" s="1009"/>
      <c r="G709" s="464" t="s">
        <v>61</v>
      </c>
      <c r="H709" s="609"/>
      <c r="I709" s="609">
        <v>2.2000000000000002</v>
      </c>
      <c r="J709" s="609">
        <v>3.9</v>
      </c>
      <c r="K709" s="610">
        <v>3.45</v>
      </c>
      <c r="L709" s="610"/>
      <c r="M709" s="610"/>
      <c r="N709" s="680">
        <f>I709*J709</f>
        <v>8.58</v>
      </c>
      <c r="O709" s="680"/>
    </row>
    <row r="710" spans="1:15" s="109" customFormat="1" ht="15" customHeight="1">
      <c r="A710" s="376"/>
      <c r="B710" s="376"/>
      <c r="C710" s="1009" t="s">
        <v>1729</v>
      </c>
      <c r="D710" s="1009"/>
      <c r="E710" s="1009"/>
      <c r="F710" s="1009"/>
      <c r="G710" s="464" t="s">
        <v>61</v>
      </c>
      <c r="H710" s="609">
        <v>2</v>
      </c>
      <c r="I710" s="690">
        <v>1.85</v>
      </c>
      <c r="J710" s="609">
        <v>1.85</v>
      </c>
      <c r="K710" s="610">
        <v>3.75</v>
      </c>
      <c r="L710" s="610"/>
      <c r="M710" s="610"/>
      <c r="N710" s="680">
        <f>((I710+J710)*2)*K710*H710</f>
        <v>55.5</v>
      </c>
      <c r="O710" s="680">
        <f>I710*J710*K710*0.1</f>
        <v>1.2834375000000002</v>
      </c>
    </row>
    <row r="711" spans="1:15" s="109" customFormat="1" ht="15" customHeight="1">
      <c r="A711" s="376"/>
      <c r="B711" s="376"/>
      <c r="C711" s="1009" t="s">
        <v>1800</v>
      </c>
      <c r="D711" s="1009"/>
      <c r="E711" s="1009"/>
      <c r="F711" s="1009"/>
      <c r="G711" s="464" t="s">
        <v>61</v>
      </c>
      <c r="H711" s="412"/>
      <c r="I711" s="690">
        <v>1.85</v>
      </c>
      <c r="J711" s="609">
        <v>1.85</v>
      </c>
      <c r="K711" s="610">
        <v>3.75</v>
      </c>
      <c r="L711" s="400"/>
      <c r="M711" s="411"/>
      <c r="N711" s="680">
        <f>I711*J711</f>
        <v>3.4225000000000003</v>
      </c>
      <c r="O711" s="400"/>
    </row>
    <row r="712" spans="1:15" s="109" customFormat="1" ht="15" customHeight="1">
      <c r="A712" s="376"/>
      <c r="B712" s="376"/>
      <c r="C712" s="1033"/>
      <c r="D712" s="1033"/>
      <c r="E712" s="1033"/>
      <c r="F712" s="1033"/>
      <c r="G712" s="343"/>
      <c r="H712" s="412"/>
      <c r="I712" s="415"/>
      <c r="J712" s="413"/>
      <c r="K712" s="413"/>
      <c r="L712" s="400"/>
      <c r="M712" s="411"/>
      <c r="N712" s="400"/>
      <c r="O712" s="400"/>
    </row>
    <row r="713" spans="1:15" s="109" customFormat="1" ht="44.25" customHeight="1">
      <c r="A713" s="377">
        <f>ORÇAMENTO!A86</f>
        <v>103761</v>
      </c>
      <c r="B713" s="377" t="str">
        <f>ORÇAMENTO!C86</f>
        <v>5.02.02</v>
      </c>
      <c r="C713" s="1003" t="str">
        <f>ORÇAMENTO!D86</f>
        <v>MONTAGEM E DESMONTAGEM DE FÔRMA DE LAJE MACIÇA, PÉ-DIREITO SIMPLES, EM CHAPA DE MADEIRA COMPENSADA RESINADA E CIMBRAMENTO DE MADEIRA, 4 UTILIZAÇÕES. AF_03/2022</v>
      </c>
      <c r="D713" s="1003"/>
      <c r="E713" s="1003"/>
      <c r="F713" s="1003"/>
      <c r="G713" s="377" t="str">
        <f>ORÇAMENTO!E86</f>
        <v>M²</v>
      </c>
      <c r="H713" s="380"/>
      <c r="I713" s="387"/>
      <c r="J713" s="380"/>
      <c r="K713" s="388"/>
      <c r="L713" s="380"/>
      <c r="M713" s="379"/>
      <c r="N713" s="380">
        <f>SUM(N715:N800)</f>
        <v>1220.8579</v>
      </c>
      <c r="O713" s="380"/>
    </row>
    <row r="714" spans="1:15" s="109" customFormat="1" ht="15" customHeight="1">
      <c r="A714" s="404"/>
      <c r="B714" s="404"/>
      <c r="C714" s="1093" t="s">
        <v>1713</v>
      </c>
      <c r="D714" s="1093"/>
      <c r="E714" s="1093"/>
      <c r="F714" s="1093"/>
      <c r="G714" s="404"/>
      <c r="H714" s="406"/>
      <c r="I714" s="407"/>
      <c r="J714" s="406"/>
      <c r="K714" s="408"/>
      <c r="L714" s="406"/>
      <c r="M714" s="409"/>
      <c r="N714" s="406"/>
      <c r="O714" s="340"/>
    </row>
    <row r="715" spans="1:15" s="109" customFormat="1" ht="15" customHeight="1">
      <c r="A715" s="376"/>
      <c r="B715" s="376"/>
      <c r="C715" s="1033" t="s">
        <v>1714</v>
      </c>
      <c r="D715" s="1033"/>
      <c r="E715" s="1033"/>
      <c r="F715" s="1033"/>
      <c r="G715" s="343" t="s">
        <v>61</v>
      </c>
      <c r="H715" s="410"/>
      <c r="I715" s="410">
        <v>3.14</v>
      </c>
      <c r="J715" s="410">
        <v>2.5299999999999998</v>
      </c>
      <c r="K715" s="410">
        <v>0.1</v>
      </c>
      <c r="L715" s="400"/>
      <c r="M715" s="411"/>
      <c r="N715" s="400">
        <f>I715*J715</f>
        <v>7.9441999999999995</v>
      </c>
      <c r="O715" s="400"/>
    </row>
    <row r="716" spans="1:15" s="109" customFormat="1" ht="15" customHeight="1">
      <c r="A716" s="376"/>
      <c r="B716" s="376"/>
      <c r="C716" s="1033" t="s">
        <v>1715</v>
      </c>
      <c r="D716" s="1033"/>
      <c r="E716" s="1033"/>
      <c r="F716" s="1033"/>
      <c r="G716" s="343" t="s">
        <v>61</v>
      </c>
      <c r="H716" s="410"/>
      <c r="I716" s="410">
        <v>3.14</v>
      </c>
      <c r="J716" s="410">
        <v>2.5299999999999998</v>
      </c>
      <c r="K716" s="410">
        <v>0.1</v>
      </c>
      <c r="L716" s="400"/>
      <c r="M716" s="411"/>
      <c r="N716" s="400">
        <f t="shared" ref="N716:N722" si="27">I716*J716</f>
        <v>7.9441999999999995</v>
      </c>
      <c r="O716" s="400"/>
    </row>
    <row r="717" spans="1:15" s="109" customFormat="1" ht="15" customHeight="1">
      <c r="A717" s="376"/>
      <c r="B717" s="376"/>
      <c r="C717" s="1033" t="s">
        <v>1716</v>
      </c>
      <c r="D717" s="1033"/>
      <c r="E717" s="1033"/>
      <c r="F717" s="1033"/>
      <c r="G717" s="343" t="s">
        <v>61</v>
      </c>
      <c r="H717" s="410"/>
      <c r="I717" s="410">
        <v>3.14</v>
      </c>
      <c r="J717" s="410">
        <v>2.5299999999999998</v>
      </c>
      <c r="K717" s="410">
        <v>0.1</v>
      </c>
      <c r="L717" s="400"/>
      <c r="M717" s="411"/>
      <c r="N717" s="400">
        <f t="shared" si="27"/>
        <v>7.9441999999999995</v>
      </c>
      <c r="O717" s="400"/>
    </row>
    <row r="718" spans="1:15" s="109" customFormat="1" ht="15" customHeight="1">
      <c r="A718" s="376"/>
      <c r="B718" s="376"/>
      <c r="C718" s="1033" t="s">
        <v>1717</v>
      </c>
      <c r="D718" s="1033"/>
      <c r="E718" s="1033"/>
      <c r="F718" s="1033"/>
      <c r="G718" s="343" t="s">
        <v>61</v>
      </c>
      <c r="H718" s="410"/>
      <c r="I718" s="410">
        <v>3.14</v>
      </c>
      <c r="J718" s="410">
        <v>2.5299999999999998</v>
      </c>
      <c r="K718" s="410">
        <v>0.1</v>
      </c>
      <c r="L718" s="400"/>
      <c r="M718" s="411"/>
      <c r="N718" s="400">
        <f t="shared" si="27"/>
        <v>7.9441999999999995</v>
      </c>
      <c r="O718" s="400"/>
    </row>
    <row r="719" spans="1:15" s="109" customFormat="1" ht="15" customHeight="1">
      <c r="A719" s="376"/>
      <c r="B719" s="376"/>
      <c r="C719" s="1033" t="s">
        <v>1718</v>
      </c>
      <c r="D719" s="1033"/>
      <c r="E719" s="1033"/>
      <c r="F719" s="1033"/>
      <c r="G719" s="343" t="s">
        <v>61</v>
      </c>
      <c r="H719" s="410"/>
      <c r="I719" s="410">
        <v>3.04</v>
      </c>
      <c r="J719" s="410">
        <v>2.33</v>
      </c>
      <c r="K719" s="410">
        <v>0.1</v>
      </c>
      <c r="L719" s="400"/>
      <c r="M719" s="411"/>
      <c r="N719" s="400">
        <f t="shared" si="27"/>
        <v>7.0832000000000006</v>
      </c>
      <c r="O719" s="400"/>
    </row>
    <row r="720" spans="1:15" s="109" customFormat="1" ht="15" customHeight="1">
      <c r="A720" s="376"/>
      <c r="B720" s="376"/>
      <c r="C720" s="1033" t="s">
        <v>1719</v>
      </c>
      <c r="D720" s="1033"/>
      <c r="E720" s="1033"/>
      <c r="F720" s="1033"/>
      <c r="G720" s="343" t="s">
        <v>61</v>
      </c>
      <c r="H720" s="410"/>
      <c r="I720" s="410">
        <v>3.04</v>
      </c>
      <c r="J720" s="410">
        <v>2.33</v>
      </c>
      <c r="K720" s="410">
        <v>0.1</v>
      </c>
      <c r="L720" s="400"/>
      <c r="M720" s="411"/>
      <c r="N720" s="400">
        <f t="shared" si="27"/>
        <v>7.0832000000000006</v>
      </c>
      <c r="O720" s="400"/>
    </row>
    <row r="721" spans="1:15" s="109" customFormat="1" ht="15" customHeight="1">
      <c r="A721" s="376"/>
      <c r="B721" s="376"/>
      <c r="C721" s="1033" t="s">
        <v>1720</v>
      </c>
      <c r="D721" s="1033"/>
      <c r="E721" s="1033"/>
      <c r="F721" s="1033"/>
      <c r="G721" s="343" t="s">
        <v>61</v>
      </c>
      <c r="H721" s="412"/>
      <c r="I721" s="410">
        <v>3.14</v>
      </c>
      <c r="J721" s="410">
        <v>2.5299999999999998</v>
      </c>
      <c r="K721" s="410">
        <v>0.1</v>
      </c>
      <c r="L721" s="400"/>
      <c r="M721" s="411"/>
      <c r="N721" s="400">
        <f t="shared" si="27"/>
        <v>7.9441999999999995</v>
      </c>
      <c r="O721" s="400"/>
    </row>
    <row r="722" spans="1:15" s="109" customFormat="1" ht="15" customHeight="1">
      <c r="A722" s="376"/>
      <c r="B722" s="376"/>
      <c r="C722" s="1033" t="s">
        <v>1721</v>
      </c>
      <c r="D722" s="1033"/>
      <c r="E722" s="1033"/>
      <c r="F722" s="1033"/>
      <c r="G722" s="343" t="s">
        <v>61</v>
      </c>
      <c r="H722" s="412"/>
      <c r="I722" s="410">
        <v>3.14</v>
      </c>
      <c r="J722" s="410">
        <v>2.5299999999999998</v>
      </c>
      <c r="K722" s="410">
        <v>0.1</v>
      </c>
      <c r="L722" s="400"/>
      <c r="M722" s="411"/>
      <c r="N722" s="400">
        <f t="shared" si="27"/>
        <v>7.9441999999999995</v>
      </c>
      <c r="O722" s="400"/>
    </row>
    <row r="723" spans="1:15" s="109" customFormat="1" ht="15" customHeight="1">
      <c r="A723" s="376"/>
      <c r="B723" s="376"/>
      <c r="C723" s="1032" t="s">
        <v>1731</v>
      </c>
      <c r="D723" s="1032"/>
      <c r="E723" s="1032"/>
      <c r="F723" s="1032"/>
      <c r="G723" s="464"/>
      <c r="H723" s="431"/>
      <c r="I723" s="681"/>
      <c r="J723" s="681"/>
      <c r="K723" s="410"/>
      <c r="L723" s="400"/>
      <c r="M723" s="682"/>
      <c r="N723" s="400"/>
      <c r="O723" s="400"/>
    </row>
    <row r="724" spans="1:15" s="109" customFormat="1" ht="15" customHeight="1">
      <c r="A724" s="376"/>
      <c r="B724" s="376"/>
      <c r="C724" s="1031" t="s">
        <v>1732</v>
      </c>
      <c r="D724" s="1031"/>
      <c r="E724" s="1031"/>
      <c r="F724" s="1031"/>
      <c r="G724" s="464" t="s">
        <v>61</v>
      </c>
      <c r="H724" s="431"/>
      <c r="I724" s="681">
        <v>1.91</v>
      </c>
      <c r="J724" s="681">
        <v>5.51</v>
      </c>
      <c r="K724" s="410">
        <v>0.12</v>
      </c>
      <c r="L724" s="400"/>
      <c r="M724" s="682"/>
      <c r="N724" s="400">
        <f t="shared" ref="N724:N758" si="28">I724*J724</f>
        <v>10.524099999999999</v>
      </c>
      <c r="O724" s="400"/>
    </row>
    <row r="725" spans="1:15" s="109" customFormat="1" ht="15" customHeight="1">
      <c r="A725" s="376"/>
      <c r="B725" s="376"/>
      <c r="C725" s="1031" t="s">
        <v>1733</v>
      </c>
      <c r="D725" s="1031"/>
      <c r="E725" s="1031"/>
      <c r="F725" s="1031"/>
      <c r="G725" s="464" t="s">
        <v>61</v>
      </c>
      <c r="H725" s="431"/>
      <c r="I725" s="410">
        <v>5.53</v>
      </c>
      <c r="J725" s="410">
        <v>3.5</v>
      </c>
      <c r="K725" s="410">
        <v>0.12</v>
      </c>
      <c r="L725" s="683"/>
      <c r="M725" s="683"/>
      <c r="N725" s="400">
        <f t="shared" si="28"/>
        <v>19.355</v>
      </c>
      <c r="O725" s="400"/>
    </row>
    <row r="726" spans="1:15" s="109" customFormat="1" ht="15" customHeight="1">
      <c r="A726" s="376"/>
      <c r="B726" s="376"/>
      <c r="C726" s="1031" t="s">
        <v>1734</v>
      </c>
      <c r="D726" s="1031"/>
      <c r="E726" s="1031"/>
      <c r="F726" s="1031"/>
      <c r="G726" s="464" t="s">
        <v>61</v>
      </c>
      <c r="H726" s="431"/>
      <c r="I726" s="410">
        <v>4.0599999999999996</v>
      </c>
      <c r="J726" s="410">
        <v>5.81</v>
      </c>
      <c r="K726" s="410">
        <v>0.12</v>
      </c>
      <c r="L726" s="683"/>
      <c r="M726" s="683"/>
      <c r="N726" s="400">
        <f t="shared" si="28"/>
        <v>23.588599999999996</v>
      </c>
      <c r="O726" s="400"/>
    </row>
    <row r="727" spans="1:15" s="109" customFormat="1" ht="15" customHeight="1">
      <c r="A727" s="376"/>
      <c r="B727" s="376"/>
      <c r="C727" s="1031" t="s">
        <v>1735</v>
      </c>
      <c r="D727" s="1031"/>
      <c r="E727" s="1031"/>
      <c r="F727" s="1031"/>
      <c r="G727" s="464" t="s">
        <v>61</v>
      </c>
      <c r="H727" s="431"/>
      <c r="I727" s="410">
        <v>1.51</v>
      </c>
      <c r="J727" s="410">
        <v>1.21</v>
      </c>
      <c r="K727" s="410">
        <v>0.12</v>
      </c>
      <c r="L727" s="683"/>
      <c r="M727" s="683"/>
      <c r="N727" s="400">
        <f t="shared" si="28"/>
        <v>1.8270999999999999</v>
      </c>
      <c r="O727" s="400"/>
    </row>
    <row r="728" spans="1:15" s="109" customFormat="1" ht="15" customHeight="1">
      <c r="A728" s="376"/>
      <c r="B728" s="376"/>
      <c r="C728" s="1031" t="s">
        <v>1736</v>
      </c>
      <c r="D728" s="1031"/>
      <c r="E728" s="1031"/>
      <c r="F728" s="1031"/>
      <c r="G728" s="464" t="s">
        <v>61</v>
      </c>
      <c r="H728" s="431"/>
      <c r="I728" s="410">
        <v>1.71</v>
      </c>
      <c r="J728" s="410">
        <v>1.21</v>
      </c>
      <c r="K728" s="410">
        <v>0.12</v>
      </c>
      <c r="L728" s="683"/>
      <c r="M728" s="683"/>
      <c r="N728" s="400">
        <f t="shared" si="28"/>
        <v>2.0690999999999997</v>
      </c>
      <c r="O728" s="400"/>
    </row>
    <row r="729" spans="1:15" s="109" customFormat="1" ht="15" customHeight="1">
      <c r="A729" s="376"/>
      <c r="B729" s="376"/>
      <c r="C729" s="1031" t="s">
        <v>1737</v>
      </c>
      <c r="D729" s="1031"/>
      <c r="E729" s="1031"/>
      <c r="F729" s="1031"/>
      <c r="G729" s="464" t="s">
        <v>61</v>
      </c>
      <c r="H729" s="431"/>
      <c r="I729" s="410">
        <v>1.71</v>
      </c>
      <c r="J729" s="410">
        <v>1.21</v>
      </c>
      <c r="K729" s="410">
        <v>0.12</v>
      </c>
      <c r="L729" s="683"/>
      <c r="M729" s="683"/>
      <c r="N729" s="400">
        <f t="shared" si="28"/>
        <v>2.0690999999999997</v>
      </c>
      <c r="O729" s="400"/>
    </row>
    <row r="730" spans="1:15" s="109" customFormat="1" ht="15" customHeight="1">
      <c r="A730" s="376"/>
      <c r="B730" s="376"/>
      <c r="C730" s="1031" t="s">
        <v>1738</v>
      </c>
      <c r="D730" s="1031"/>
      <c r="E730" s="1031"/>
      <c r="F730" s="1031"/>
      <c r="G730" s="464" t="s">
        <v>61</v>
      </c>
      <c r="H730" s="431"/>
      <c r="I730" s="410">
        <v>1.51</v>
      </c>
      <c r="J730" s="410">
        <v>1.21</v>
      </c>
      <c r="K730" s="410">
        <v>0.12</v>
      </c>
      <c r="L730" s="683"/>
      <c r="M730" s="683"/>
      <c r="N730" s="400">
        <f t="shared" si="28"/>
        <v>1.8270999999999999</v>
      </c>
      <c r="O730" s="400"/>
    </row>
    <row r="731" spans="1:15" s="109" customFormat="1" ht="15" customHeight="1">
      <c r="A731" s="376"/>
      <c r="B731" s="376"/>
      <c r="C731" s="1031" t="s">
        <v>1739</v>
      </c>
      <c r="D731" s="1031"/>
      <c r="E731" s="1031"/>
      <c r="F731" s="1031"/>
      <c r="G731" s="464" t="s">
        <v>61</v>
      </c>
      <c r="H731" s="431"/>
      <c r="I731" s="410">
        <v>2.5099999999999998</v>
      </c>
      <c r="J731" s="410">
        <v>5.16</v>
      </c>
      <c r="K731" s="410">
        <v>0.12</v>
      </c>
      <c r="L731" s="683"/>
      <c r="M731" s="683"/>
      <c r="N731" s="400">
        <f t="shared" si="28"/>
        <v>12.951599999999999</v>
      </c>
      <c r="O731" s="400"/>
    </row>
    <row r="732" spans="1:15" s="109" customFormat="1" ht="15" customHeight="1">
      <c r="A732" s="376"/>
      <c r="B732" s="376"/>
      <c r="C732" s="1031" t="s">
        <v>1740</v>
      </c>
      <c r="D732" s="1031"/>
      <c r="E732" s="1031"/>
      <c r="F732" s="1031"/>
      <c r="G732" s="464" t="s">
        <v>61</v>
      </c>
      <c r="H732" s="431"/>
      <c r="I732" s="410">
        <v>5.51</v>
      </c>
      <c r="J732" s="410">
        <v>2.8</v>
      </c>
      <c r="K732" s="410">
        <v>0.12</v>
      </c>
      <c r="L732" s="683"/>
      <c r="M732" s="683"/>
      <c r="N732" s="400">
        <f t="shared" si="28"/>
        <v>15.427999999999999</v>
      </c>
      <c r="O732" s="400"/>
    </row>
    <row r="733" spans="1:15" s="109" customFormat="1" ht="15" customHeight="1">
      <c r="A733" s="376"/>
      <c r="B733" s="376"/>
      <c r="C733" s="1031" t="s">
        <v>1741</v>
      </c>
      <c r="D733" s="1031"/>
      <c r="E733" s="1031"/>
      <c r="F733" s="1031"/>
      <c r="G733" s="464" t="s">
        <v>61</v>
      </c>
      <c r="H733" s="431"/>
      <c r="I733" s="410">
        <v>2.5099999999999998</v>
      </c>
      <c r="J733" s="410">
        <v>5.16</v>
      </c>
      <c r="K733" s="410">
        <v>0.12</v>
      </c>
      <c r="L733" s="683"/>
      <c r="M733" s="683"/>
      <c r="N733" s="400">
        <f t="shared" si="28"/>
        <v>12.951599999999999</v>
      </c>
      <c r="O733" s="400"/>
    </row>
    <row r="734" spans="1:15" s="109" customFormat="1" ht="15" customHeight="1">
      <c r="A734" s="376"/>
      <c r="B734" s="376"/>
      <c r="C734" s="1031" t="s">
        <v>1742</v>
      </c>
      <c r="D734" s="1031"/>
      <c r="E734" s="1031"/>
      <c r="F734" s="1031"/>
      <c r="G734" s="464" t="s">
        <v>61</v>
      </c>
      <c r="H734" s="431"/>
      <c r="I734" s="410">
        <v>5.34</v>
      </c>
      <c r="J734" s="410">
        <v>2.17</v>
      </c>
      <c r="K734" s="410">
        <v>0.12</v>
      </c>
      <c r="L734" s="683"/>
      <c r="M734" s="683"/>
      <c r="N734" s="400">
        <f t="shared" si="28"/>
        <v>11.5878</v>
      </c>
      <c r="O734" s="400"/>
    </row>
    <row r="735" spans="1:15" s="109" customFormat="1" ht="15" customHeight="1">
      <c r="A735" s="376"/>
      <c r="B735" s="376"/>
      <c r="C735" s="1031" t="s">
        <v>1743</v>
      </c>
      <c r="D735" s="1031"/>
      <c r="E735" s="1031"/>
      <c r="F735" s="1031"/>
      <c r="G735" s="464" t="s">
        <v>61</v>
      </c>
      <c r="H735" s="431"/>
      <c r="I735" s="410">
        <v>3.36</v>
      </c>
      <c r="J735" s="410">
        <v>3.81</v>
      </c>
      <c r="K735" s="410">
        <v>0.12</v>
      </c>
      <c r="L735" s="683"/>
      <c r="M735" s="683"/>
      <c r="N735" s="400">
        <f t="shared" si="28"/>
        <v>12.801600000000001</v>
      </c>
      <c r="O735" s="400"/>
    </row>
    <row r="736" spans="1:15" s="109" customFormat="1" ht="15" customHeight="1">
      <c r="A736" s="376"/>
      <c r="B736" s="376"/>
      <c r="C736" s="1031" t="s">
        <v>1744</v>
      </c>
      <c r="D736" s="1031"/>
      <c r="E736" s="1031"/>
      <c r="F736" s="1031"/>
      <c r="G736" s="464" t="s">
        <v>61</v>
      </c>
      <c r="H736" s="431"/>
      <c r="I736" s="410">
        <v>4.41</v>
      </c>
      <c r="J736" s="410">
        <v>1.83</v>
      </c>
      <c r="K736" s="410">
        <v>0.12</v>
      </c>
      <c r="L736" s="683"/>
      <c r="M736" s="683"/>
      <c r="N736" s="400">
        <f t="shared" si="28"/>
        <v>8.0703000000000014</v>
      </c>
      <c r="O736" s="400"/>
    </row>
    <row r="737" spans="1:15" s="109" customFormat="1" ht="15" customHeight="1">
      <c r="A737" s="376"/>
      <c r="B737" s="376"/>
      <c r="C737" s="1031" t="s">
        <v>1745</v>
      </c>
      <c r="D737" s="1031"/>
      <c r="E737" s="1031"/>
      <c r="F737" s="1031"/>
      <c r="G737" s="464" t="s">
        <v>61</v>
      </c>
      <c r="H737" s="431"/>
      <c r="I737" s="410">
        <v>3.36</v>
      </c>
      <c r="J737" s="410">
        <v>3.81</v>
      </c>
      <c r="K737" s="410">
        <v>0.12</v>
      </c>
      <c r="L737" s="683"/>
      <c r="M737" s="683"/>
      <c r="N737" s="400">
        <f t="shared" si="28"/>
        <v>12.801600000000001</v>
      </c>
      <c r="O737" s="400"/>
    </row>
    <row r="738" spans="1:15" s="109" customFormat="1" ht="15" customHeight="1">
      <c r="A738" s="376"/>
      <c r="B738" s="376"/>
      <c r="C738" s="1031" t="s">
        <v>1746</v>
      </c>
      <c r="D738" s="1031"/>
      <c r="E738" s="1031"/>
      <c r="F738" s="1031"/>
      <c r="G738" s="464" t="s">
        <v>61</v>
      </c>
      <c r="H738" s="431"/>
      <c r="I738" s="410">
        <v>2.66</v>
      </c>
      <c r="J738" s="410">
        <v>3.27</v>
      </c>
      <c r="K738" s="410">
        <v>0.12</v>
      </c>
      <c r="L738" s="683"/>
      <c r="M738" s="683"/>
      <c r="N738" s="400">
        <f t="shared" si="28"/>
        <v>8.6981999999999999</v>
      </c>
      <c r="O738" s="400"/>
    </row>
    <row r="739" spans="1:15" s="109" customFormat="1" ht="15" customHeight="1">
      <c r="A739" s="376"/>
      <c r="B739" s="376"/>
      <c r="C739" s="1031" t="s">
        <v>1747</v>
      </c>
      <c r="D739" s="1031"/>
      <c r="E739" s="1031"/>
      <c r="F739" s="1031"/>
      <c r="G739" s="464" t="s">
        <v>61</v>
      </c>
      <c r="H739" s="431"/>
      <c r="I739" s="410">
        <v>4.37</v>
      </c>
      <c r="J739" s="410">
        <v>9.64</v>
      </c>
      <c r="K739" s="410">
        <v>0.12</v>
      </c>
      <c r="L739" s="683"/>
      <c r="M739" s="683"/>
      <c r="N739" s="400">
        <f t="shared" si="28"/>
        <v>42.126800000000003</v>
      </c>
      <c r="O739" s="400"/>
    </row>
    <row r="740" spans="1:15" s="109" customFormat="1" ht="15" customHeight="1">
      <c r="A740" s="376"/>
      <c r="B740" s="376"/>
      <c r="C740" s="1031" t="s">
        <v>1748</v>
      </c>
      <c r="D740" s="1031"/>
      <c r="E740" s="1031"/>
      <c r="F740" s="1031"/>
      <c r="G740" s="464" t="s">
        <v>61</v>
      </c>
      <c r="H740" s="431"/>
      <c r="I740" s="410">
        <v>2.2599999999999998</v>
      </c>
      <c r="J740" s="410">
        <v>4.41</v>
      </c>
      <c r="K740" s="410">
        <v>0.12</v>
      </c>
      <c r="L740" s="683"/>
      <c r="M740" s="683"/>
      <c r="N740" s="400">
        <f t="shared" si="28"/>
        <v>9.9665999999999997</v>
      </c>
      <c r="O740" s="400"/>
    </row>
    <row r="741" spans="1:15" s="109" customFormat="1" ht="15" customHeight="1">
      <c r="A741" s="376"/>
      <c r="B741" s="376"/>
      <c r="C741" s="1031" t="s">
        <v>1749</v>
      </c>
      <c r="D741" s="1031"/>
      <c r="E741" s="1031"/>
      <c r="F741" s="1031"/>
      <c r="G741" s="464" t="s">
        <v>61</v>
      </c>
      <c r="H741" s="431"/>
      <c r="I741" s="410">
        <v>1.22</v>
      </c>
      <c r="J741" s="410">
        <v>16.14</v>
      </c>
      <c r="K741" s="410">
        <v>0.12</v>
      </c>
      <c r="L741" s="683"/>
      <c r="M741" s="683"/>
      <c r="N741" s="400">
        <f t="shared" si="28"/>
        <v>19.690799999999999</v>
      </c>
      <c r="O741" s="400"/>
    </row>
    <row r="742" spans="1:15" s="109" customFormat="1" ht="15" customHeight="1">
      <c r="A742" s="376"/>
      <c r="B742" s="376"/>
      <c r="C742" s="1031" t="s">
        <v>1750</v>
      </c>
      <c r="D742" s="1031"/>
      <c r="E742" s="1031"/>
      <c r="F742" s="1031"/>
      <c r="G742" s="464" t="s">
        <v>61</v>
      </c>
      <c r="H742" s="431"/>
      <c r="I742" s="410">
        <v>2.61</v>
      </c>
      <c r="J742" s="410">
        <v>8.0299999999999994</v>
      </c>
      <c r="K742" s="410">
        <v>0.12</v>
      </c>
      <c r="L742" s="683"/>
      <c r="M742" s="683"/>
      <c r="N742" s="400">
        <f t="shared" si="28"/>
        <v>20.958299999999998</v>
      </c>
      <c r="O742" s="400"/>
    </row>
    <row r="743" spans="1:15" s="109" customFormat="1" ht="15" customHeight="1">
      <c r="A743" s="376"/>
      <c r="B743" s="376"/>
      <c r="C743" s="1031" t="s">
        <v>1751</v>
      </c>
      <c r="D743" s="1031"/>
      <c r="E743" s="1031"/>
      <c r="F743" s="1031"/>
      <c r="G743" s="464" t="s">
        <v>61</v>
      </c>
      <c r="H743" s="431"/>
      <c r="I743" s="410">
        <v>2.66</v>
      </c>
      <c r="J743" s="410">
        <v>4.62</v>
      </c>
      <c r="K743" s="410">
        <v>0.12</v>
      </c>
      <c r="L743" s="683"/>
      <c r="M743" s="683"/>
      <c r="N743" s="400">
        <f t="shared" si="28"/>
        <v>12.289200000000001</v>
      </c>
      <c r="O743" s="400"/>
    </row>
    <row r="744" spans="1:15" s="109" customFormat="1" ht="15" customHeight="1">
      <c r="A744" s="376"/>
      <c r="B744" s="376"/>
      <c r="C744" s="1031" t="s">
        <v>1752</v>
      </c>
      <c r="D744" s="1031"/>
      <c r="E744" s="1031"/>
      <c r="F744" s="1031"/>
      <c r="G744" s="464" t="s">
        <v>61</v>
      </c>
      <c r="H744" s="431"/>
      <c r="I744" s="410">
        <v>4.46</v>
      </c>
      <c r="J744" s="410">
        <v>2.0499999999999998</v>
      </c>
      <c r="K744" s="410">
        <v>0.12</v>
      </c>
      <c r="L744" s="683"/>
      <c r="M744" s="683"/>
      <c r="N744" s="400">
        <f t="shared" si="28"/>
        <v>9.1429999999999989</v>
      </c>
      <c r="O744" s="400"/>
    </row>
    <row r="745" spans="1:15" s="109" customFormat="1" ht="15" customHeight="1">
      <c r="A745" s="376"/>
      <c r="B745" s="376"/>
      <c r="C745" s="1031" t="s">
        <v>1753</v>
      </c>
      <c r="D745" s="1031"/>
      <c r="E745" s="1031"/>
      <c r="F745" s="1031"/>
      <c r="G745" s="464" t="s">
        <v>61</v>
      </c>
      <c r="H745" s="431"/>
      <c r="I745" s="410">
        <v>1.81</v>
      </c>
      <c r="J745" s="410">
        <v>4.2300000000000004</v>
      </c>
      <c r="K745" s="410">
        <v>0.12</v>
      </c>
      <c r="L745" s="683"/>
      <c r="M745" s="683"/>
      <c r="N745" s="400">
        <f t="shared" si="28"/>
        <v>7.6563000000000008</v>
      </c>
      <c r="O745" s="400"/>
    </row>
    <row r="746" spans="1:15" s="109" customFormat="1" ht="15" customHeight="1">
      <c r="A746" s="376"/>
      <c r="B746" s="376"/>
      <c r="C746" s="1031" t="s">
        <v>1754</v>
      </c>
      <c r="D746" s="1031"/>
      <c r="E746" s="1031"/>
      <c r="F746" s="1031"/>
      <c r="G746" s="464" t="s">
        <v>61</v>
      </c>
      <c r="H746" s="431"/>
      <c r="I746" s="410">
        <v>9.64</v>
      </c>
      <c r="J746" s="410">
        <v>4.2300000000000004</v>
      </c>
      <c r="K746" s="410">
        <v>0.12</v>
      </c>
      <c r="L746" s="683"/>
      <c r="M746" s="683"/>
      <c r="N746" s="400">
        <f t="shared" si="28"/>
        <v>40.777200000000008</v>
      </c>
      <c r="O746" s="400"/>
    </row>
    <row r="747" spans="1:15" s="109" customFormat="1" ht="15" customHeight="1">
      <c r="A747" s="376"/>
      <c r="B747" s="376"/>
      <c r="C747" s="1031" t="s">
        <v>1755</v>
      </c>
      <c r="D747" s="1031"/>
      <c r="E747" s="1031"/>
      <c r="F747" s="1031"/>
      <c r="G747" s="464" t="s">
        <v>61</v>
      </c>
      <c r="H747" s="431"/>
      <c r="I747" s="410">
        <v>4.46</v>
      </c>
      <c r="J747" s="410">
        <v>2.0499999999999998</v>
      </c>
      <c r="K747" s="410">
        <v>0.12</v>
      </c>
      <c r="L747" s="683"/>
      <c r="M747" s="683"/>
      <c r="N747" s="400">
        <f t="shared" si="28"/>
        <v>9.1429999999999989</v>
      </c>
      <c r="O747" s="400"/>
    </row>
    <row r="748" spans="1:15" s="109" customFormat="1" ht="15" customHeight="1">
      <c r="A748" s="376"/>
      <c r="B748" s="376"/>
      <c r="C748" s="1031" t="s">
        <v>1756</v>
      </c>
      <c r="D748" s="1031"/>
      <c r="E748" s="1031"/>
      <c r="F748" s="1031"/>
      <c r="G748" s="464" t="s">
        <v>61</v>
      </c>
      <c r="H748" s="431"/>
      <c r="I748" s="410">
        <v>3.05</v>
      </c>
      <c r="J748" s="410">
        <v>2.0499999999999998</v>
      </c>
      <c r="K748" s="410">
        <v>0.12</v>
      </c>
      <c r="L748" s="683"/>
      <c r="M748" s="683"/>
      <c r="N748" s="400">
        <f t="shared" si="28"/>
        <v>6.2524999999999995</v>
      </c>
      <c r="O748" s="400"/>
    </row>
    <row r="749" spans="1:15" s="109" customFormat="1" ht="15" customHeight="1">
      <c r="A749" s="376"/>
      <c r="B749" s="376"/>
      <c r="C749" s="1031" t="s">
        <v>1757</v>
      </c>
      <c r="D749" s="1031"/>
      <c r="E749" s="1031"/>
      <c r="F749" s="1031"/>
      <c r="G749" s="464" t="s">
        <v>61</v>
      </c>
      <c r="H749" s="431"/>
      <c r="I749" s="410">
        <v>3.61</v>
      </c>
      <c r="J749" s="410">
        <v>2.0499999999999998</v>
      </c>
      <c r="K749" s="410">
        <v>0.12</v>
      </c>
      <c r="L749" s="683"/>
      <c r="M749" s="683"/>
      <c r="N749" s="400">
        <f t="shared" si="28"/>
        <v>7.4004999999999992</v>
      </c>
      <c r="O749" s="400"/>
    </row>
    <row r="750" spans="1:15" s="109" customFormat="1" ht="15" customHeight="1">
      <c r="A750" s="376"/>
      <c r="B750" s="376"/>
      <c r="C750" s="1031" t="s">
        <v>1758</v>
      </c>
      <c r="D750" s="1031"/>
      <c r="E750" s="1031"/>
      <c r="F750" s="1031"/>
      <c r="G750" s="464" t="s">
        <v>61</v>
      </c>
      <c r="H750" s="431"/>
      <c r="I750" s="410">
        <v>5.55</v>
      </c>
      <c r="J750" s="410">
        <v>2.17</v>
      </c>
      <c r="K750" s="410">
        <v>0.12</v>
      </c>
      <c r="L750" s="683"/>
      <c r="M750" s="683"/>
      <c r="N750" s="400">
        <f t="shared" si="28"/>
        <v>12.0435</v>
      </c>
      <c r="O750" s="400"/>
    </row>
    <row r="751" spans="1:15" s="109" customFormat="1" ht="15" customHeight="1">
      <c r="A751" s="376"/>
      <c r="B751" s="376"/>
      <c r="C751" s="1031" t="s">
        <v>1759</v>
      </c>
      <c r="D751" s="1031"/>
      <c r="E751" s="1031"/>
      <c r="F751" s="1031"/>
      <c r="G751" s="464" t="s">
        <v>61</v>
      </c>
      <c r="H751" s="431"/>
      <c r="I751" s="410">
        <v>5.34</v>
      </c>
      <c r="J751" s="410">
        <v>2.17</v>
      </c>
      <c r="K751" s="410">
        <v>0.12</v>
      </c>
      <c r="L751" s="683"/>
      <c r="M751" s="683"/>
      <c r="N751" s="400">
        <f t="shared" si="28"/>
        <v>11.5878</v>
      </c>
      <c r="O751" s="400"/>
    </row>
    <row r="752" spans="1:15" s="109" customFormat="1" ht="15" customHeight="1">
      <c r="A752" s="376"/>
      <c r="B752" s="376"/>
      <c r="C752" s="1031" t="s">
        <v>1760</v>
      </c>
      <c r="D752" s="1031"/>
      <c r="E752" s="1031"/>
      <c r="F752" s="1031"/>
      <c r="G752" s="464" t="s">
        <v>61</v>
      </c>
      <c r="H752" s="431"/>
      <c r="I752" s="410">
        <v>5.51</v>
      </c>
      <c r="J752" s="410">
        <v>2.8</v>
      </c>
      <c r="K752" s="410">
        <v>0.12</v>
      </c>
      <c r="L752" s="683"/>
      <c r="M752" s="683"/>
      <c r="N752" s="400">
        <f t="shared" si="28"/>
        <v>15.427999999999999</v>
      </c>
      <c r="O752" s="400"/>
    </row>
    <row r="753" spans="1:15" s="109" customFormat="1" ht="15" customHeight="1">
      <c r="A753" s="376"/>
      <c r="B753" s="376"/>
      <c r="C753" s="1031" t="s">
        <v>1761</v>
      </c>
      <c r="D753" s="1031"/>
      <c r="E753" s="1031"/>
      <c r="F753" s="1031"/>
      <c r="G753" s="464" t="s">
        <v>61</v>
      </c>
      <c r="H753" s="431"/>
      <c r="I753" s="410">
        <v>3.01</v>
      </c>
      <c r="J753" s="410">
        <v>4.8499999999999996</v>
      </c>
      <c r="K753" s="410">
        <v>0.12</v>
      </c>
      <c r="L753" s="683"/>
      <c r="M753" s="683"/>
      <c r="N753" s="400">
        <f t="shared" si="28"/>
        <v>14.598499999999998</v>
      </c>
      <c r="O753" s="400"/>
    </row>
    <row r="754" spans="1:15" s="109" customFormat="1" ht="15" customHeight="1">
      <c r="A754" s="376"/>
      <c r="B754" s="376"/>
      <c r="C754" s="1031" t="s">
        <v>1762</v>
      </c>
      <c r="D754" s="1031"/>
      <c r="E754" s="1031"/>
      <c r="F754" s="1031"/>
      <c r="G754" s="464" t="s">
        <v>61</v>
      </c>
      <c r="H754" s="431"/>
      <c r="I754" s="410">
        <v>5.34</v>
      </c>
      <c r="J754" s="410">
        <v>3.5</v>
      </c>
      <c r="K754" s="410">
        <v>0.12</v>
      </c>
      <c r="L754" s="683"/>
      <c r="M754" s="683"/>
      <c r="N754" s="400">
        <f t="shared" si="28"/>
        <v>18.689999999999998</v>
      </c>
      <c r="O754" s="400"/>
    </row>
    <row r="755" spans="1:15" s="109" customFormat="1" ht="15" customHeight="1">
      <c r="A755" s="376"/>
      <c r="B755" s="376"/>
      <c r="C755" s="1031" t="s">
        <v>1763</v>
      </c>
      <c r="D755" s="1031"/>
      <c r="E755" s="1031"/>
      <c r="F755" s="1031"/>
      <c r="G755" s="464" t="s">
        <v>61</v>
      </c>
      <c r="H755" s="431"/>
      <c r="I755" s="410">
        <v>3</v>
      </c>
      <c r="J755" s="410">
        <v>4.2300000000000004</v>
      </c>
      <c r="K755" s="410">
        <v>0.12</v>
      </c>
      <c r="L755" s="683"/>
      <c r="M755" s="683"/>
      <c r="N755" s="400">
        <f t="shared" si="28"/>
        <v>12.690000000000001</v>
      </c>
      <c r="O755" s="400"/>
    </row>
    <row r="756" spans="1:15" s="109" customFormat="1" ht="15" customHeight="1">
      <c r="A756" s="376"/>
      <c r="B756" s="376"/>
      <c r="C756" s="1031" t="s">
        <v>1764</v>
      </c>
      <c r="D756" s="1031"/>
      <c r="E756" s="1031"/>
      <c r="F756" s="1031"/>
      <c r="G756" s="464" t="s">
        <v>61</v>
      </c>
      <c r="H756" s="431"/>
      <c r="I756" s="410">
        <v>5.41</v>
      </c>
      <c r="J756" s="410">
        <v>3.5</v>
      </c>
      <c r="K756" s="410">
        <v>0.12</v>
      </c>
      <c r="L756" s="683"/>
      <c r="M756" s="683"/>
      <c r="N756" s="400">
        <f t="shared" si="28"/>
        <v>18.935000000000002</v>
      </c>
      <c r="O756" s="400"/>
    </row>
    <row r="757" spans="1:15" s="109" customFormat="1" ht="15" customHeight="1">
      <c r="A757" s="376"/>
      <c r="B757" s="376"/>
      <c r="C757" s="1031" t="s">
        <v>1765</v>
      </c>
      <c r="D757" s="1031"/>
      <c r="E757" s="1031"/>
      <c r="F757" s="1031"/>
      <c r="G757" s="464" t="s">
        <v>61</v>
      </c>
      <c r="H757" s="431"/>
      <c r="I757" s="410">
        <v>3.21</v>
      </c>
      <c r="J757" s="410">
        <v>7.3</v>
      </c>
      <c r="K757" s="410">
        <v>0.12</v>
      </c>
      <c r="L757" s="683"/>
      <c r="M757" s="683"/>
      <c r="N757" s="400">
        <f t="shared" si="28"/>
        <v>23.433</v>
      </c>
      <c r="O757" s="400"/>
    </row>
    <row r="758" spans="1:15" s="109" customFormat="1" ht="15" customHeight="1">
      <c r="A758" s="376"/>
      <c r="B758" s="376"/>
      <c r="C758" s="1031" t="s">
        <v>1766</v>
      </c>
      <c r="D758" s="1031"/>
      <c r="E758" s="1031"/>
      <c r="F758" s="1031"/>
      <c r="G758" s="464" t="s">
        <v>61</v>
      </c>
      <c r="H758" s="431"/>
      <c r="I758" s="410">
        <v>5.51</v>
      </c>
      <c r="J758" s="410">
        <v>1.91</v>
      </c>
      <c r="K758" s="410">
        <v>0.12</v>
      </c>
      <c r="L758" s="683"/>
      <c r="M758" s="683"/>
      <c r="N758" s="400">
        <f t="shared" si="28"/>
        <v>10.524099999999999</v>
      </c>
      <c r="O758" s="400"/>
    </row>
    <row r="759" spans="1:15" s="109" customFormat="1" ht="15" customHeight="1">
      <c r="A759" s="376"/>
      <c r="B759" s="376"/>
      <c r="C759" s="1031" t="s">
        <v>1767</v>
      </c>
      <c r="D759" s="1031"/>
      <c r="E759" s="1031"/>
      <c r="F759" s="1031"/>
      <c r="G759" s="464" t="s">
        <v>61</v>
      </c>
      <c r="H759" s="431"/>
      <c r="I759" s="410"/>
      <c r="J759" s="410"/>
      <c r="K759" s="410">
        <v>0.12</v>
      </c>
      <c r="L759" s="683"/>
      <c r="M759" s="683"/>
      <c r="N759" s="400">
        <v>5.29</v>
      </c>
      <c r="O759" s="400"/>
    </row>
    <row r="760" spans="1:15" s="109" customFormat="1" ht="15" customHeight="1">
      <c r="A760" s="376"/>
      <c r="B760" s="376"/>
      <c r="C760" s="1031" t="s">
        <v>1768</v>
      </c>
      <c r="D760" s="1031"/>
      <c r="E760" s="1031"/>
      <c r="F760" s="1031"/>
      <c r="G760" s="464" t="s">
        <v>61</v>
      </c>
      <c r="H760" s="431"/>
      <c r="I760" s="410">
        <v>3.21</v>
      </c>
      <c r="J760" s="410">
        <v>10.01</v>
      </c>
      <c r="K760" s="410">
        <v>0.12</v>
      </c>
      <c r="L760" s="683"/>
      <c r="M760" s="683"/>
      <c r="N760" s="400">
        <f t="shared" ref="N760:N788" si="29">I760*J760</f>
        <v>32.132100000000001</v>
      </c>
      <c r="O760" s="400"/>
    </row>
    <row r="761" spans="1:15" s="109" customFormat="1" ht="15" customHeight="1">
      <c r="A761" s="376"/>
      <c r="B761" s="376"/>
      <c r="C761" s="1031" t="s">
        <v>1769</v>
      </c>
      <c r="D761" s="1031"/>
      <c r="E761" s="1031"/>
      <c r="F761" s="1031"/>
      <c r="G761" s="464" t="s">
        <v>61</v>
      </c>
      <c r="H761" s="431"/>
      <c r="I761" s="410">
        <v>3.41</v>
      </c>
      <c r="J761" s="410">
        <v>7.83</v>
      </c>
      <c r="K761" s="410">
        <v>0.12</v>
      </c>
      <c r="L761" s="683"/>
      <c r="M761" s="683"/>
      <c r="N761" s="400">
        <f t="shared" si="29"/>
        <v>26.700300000000002</v>
      </c>
      <c r="O761" s="400"/>
    </row>
    <row r="762" spans="1:15" s="109" customFormat="1" ht="15" customHeight="1">
      <c r="A762" s="376"/>
      <c r="B762" s="376"/>
      <c r="C762" s="1031" t="s">
        <v>1770</v>
      </c>
      <c r="D762" s="1031"/>
      <c r="E762" s="1031"/>
      <c r="F762" s="1031"/>
      <c r="G762" s="464" t="s">
        <v>61</v>
      </c>
      <c r="H762" s="431"/>
      <c r="I762" s="410">
        <v>3.21</v>
      </c>
      <c r="J762" s="410">
        <v>10.01</v>
      </c>
      <c r="K762" s="410">
        <v>0.12</v>
      </c>
      <c r="L762" s="683"/>
      <c r="M762" s="683"/>
      <c r="N762" s="400">
        <f t="shared" si="29"/>
        <v>32.132100000000001</v>
      </c>
      <c r="O762" s="400"/>
    </row>
    <row r="763" spans="1:15" s="109" customFormat="1" ht="15" customHeight="1">
      <c r="A763" s="376"/>
      <c r="B763" s="376"/>
      <c r="C763" s="1031" t="s">
        <v>1771</v>
      </c>
      <c r="D763" s="1031"/>
      <c r="E763" s="1031"/>
      <c r="F763" s="1031"/>
      <c r="G763" s="464" t="s">
        <v>61</v>
      </c>
      <c r="H763" s="431"/>
      <c r="I763" s="410">
        <v>3.05</v>
      </c>
      <c r="J763" s="410">
        <v>7.83</v>
      </c>
      <c r="K763" s="410">
        <v>0.12</v>
      </c>
      <c r="L763" s="683"/>
      <c r="M763" s="683"/>
      <c r="N763" s="400">
        <f t="shared" si="29"/>
        <v>23.881499999999999</v>
      </c>
      <c r="O763" s="400"/>
    </row>
    <row r="764" spans="1:15" s="109" customFormat="1" ht="15" customHeight="1">
      <c r="A764" s="376"/>
      <c r="B764" s="376"/>
      <c r="C764" s="1031" t="s">
        <v>1772</v>
      </c>
      <c r="D764" s="1031"/>
      <c r="E764" s="1031"/>
      <c r="F764" s="1031"/>
      <c r="G764" s="464" t="s">
        <v>61</v>
      </c>
      <c r="H764" s="431"/>
      <c r="I764" s="410">
        <v>3.11</v>
      </c>
      <c r="J764" s="410">
        <v>2.71</v>
      </c>
      <c r="K764" s="410">
        <v>0.12</v>
      </c>
      <c r="L764" s="683"/>
      <c r="M764" s="683"/>
      <c r="N764" s="400">
        <f t="shared" si="29"/>
        <v>8.4280999999999988</v>
      </c>
      <c r="O764" s="400"/>
    </row>
    <row r="765" spans="1:15" s="109" customFormat="1" ht="15" customHeight="1">
      <c r="A765" s="376"/>
      <c r="B765" s="376"/>
      <c r="C765" s="1031" t="s">
        <v>1773</v>
      </c>
      <c r="D765" s="1031"/>
      <c r="E765" s="1031"/>
      <c r="F765" s="1031"/>
      <c r="G765" s="464" t="s">
        <v>61</v>
      </c>
      <c r="H765" s="431"/>
      <c r="I765" s="410">
        <v>3.95</v>
      </c>
      <c r="J765" s="410">
        <v>2.71</v>
      </c>
      <c r="K765" s="410">
        <v>0.12</v>
      </c>
      <c r="L765" s="683"/>
      <c r="M765" s="683"/>
      <c r="N765" s="400">
        <f t="shared" si="29"/>
        <v>10.704499999999999</v>
      </c>
      <c r="O765" s="400"/>
    </row>
    <row r="766" spans="1:15" s="109" customFormat="1" ht="15" customHeight="1">
      <c r="A766" s="376"/>
      <c r="B766" s="376"/>
      <c r="C766" s="1031" t="s">
        <v>1774</v>
      </c>
      <c r="D766" s="1031"/>
      <c r="E766" s="1031"/>
      <c r="F766" s="1031"/>
      <c r="G766" s="464" t="s">
        <v>61</v>
      </c>
      <c r="H766" s="431"/>
      <c r="I766" s="410">
        <v>3.76</v>
      </c>
      <c r="J766" s="410">
        <v>1.81</v>
      </c>
      <c r="K766" s="410">
        <v>0.12</v>
      </c>
      <c r="L766" s="683"/>
      <c r="M766" s="683"/>
      <c r="N766" s="400">
        <f t="shared" si="29"/>
        <v>6.8056000000000001</v>
      </c>
      <c r="O766" s="400"/>
    </row>
    <row r="767" spans="1:15" s="109" customFormat="1" ht="15" customHeight="1">
      <c r="A767" s="376"/>
      <c r="B767" s="376"/>
      <c r="C767" s="1031" t="s">
        <v>1775</v>
      </c>
      <c r="D767" s="1031"/>
      <c r="E767" s="1031"/>
      <c r="F767" s="1031"/>
      <c r="G767" s="464" t="s">
        <v>61</v>
      </c>
      <c r="H767" s="431"/>
      <c r="I767" s="410">
        <v>1.91</v>
      </c>
      <c r="J767" s="410">
        <v>3.46</v>
      </c>
      <c r="K767" s="410">
        <v>0.12</v>
      </c>
      <c r="L767" s="400"/>
      <c r="M767" s="682"/>
      <c r="N767" s="400">
        <f t="shared" si="29"/>
        <v>6.6086</v>
      </c>
      <c r="O767" s="400"/>
    </row>
    <row r="768" spans="1:15" s="109" customFormat="1" ht="15" customHeight="1">
      <c r="A768" s="376"/>
      <c r="B768" s="376"/>
      <c r="C768" s="1031" t="s">
        <v>1776</v>
      </c>
      <c r="D768" s="1031"/>
      <c r="E768" s="1031"/>
      <c r="F768" s="1031"/>
      <c r="G768" s="464" t="s">
        <v>61</v>
      </c>
      <c r="H768" s="431"/>
      <c r="I768" s="410">
        <v>3.76</v>
      </c>
      <c r="J768" s="410">
        <v>1.51</v>
      </c>
      <c r="K768" s="410">
        <v>0.12</v>
      </c>
      <c r="L768" s="683"/>
      <c r="M768" s="683"/>
      <c r="N768" s="400">
        <f t="shared" si="29"/>
        <v>5.6776</v>
      </c>
      <c r="O768" s="400"/>
    </row>
    <row r="769" spans="1:15" s="109" customFormat="1" ht="15" customHeight="1">
      <c r="A769" s="376"/>
      <c r="B769" s="376"/>
      <c r="C769" s="1031" t="s">
        <v>1777</v>
      </c>
      <c r="D769" s="1031"/>
      <c r="E769" s="1031"/>
      <c r="F769" s="1031"/>
      <c r="G769" s="464" t="s">
        <v>61</v>
      </c>
      <c r="H769" s="431"/>
      <c r="I769" s="410">
        <v>7.06</v>
      </c>
      <c r="J769" s="410">
        <v>1.21</v>
      </c>
      <c r="K769" s="410">
        <v>0.12</v>
      </c>
      <c r="L769" s="683"/>
      <c r="M769" s="683"/>
      <c r="N769" s="400">
        <f t="shared" si="29"/>
        <v>8.5425999999999984</v>
      </c>
      <c r="O769" s="400"/>
    </row>
    <row r="770" spans="1:15" s="109" customFormat="1" ht="15" customHeight="1">
      <c r="A770" s="376"/>
      <c r="B770" s="376"/>
      <c r="C770" s="1031" t="s">
        <v>1778</v>
      </c>
      <c r="D770" s="1031"/>
      <c r="E770" s="1031"/>
      <c r="F770" s="1031"/>
      <c r="G770" s="464" t="s">
        <v>61</v>
      </c>
      <c r="H770" s="431"/>
      <c r="I770" s="410">
        <v>3.76</v>
      </c>
      <c r="J770" s="410">
        <v>1.1100000000000001</v>
      </c>
      <c r="K770" s="410">
        <v>0.12</v>
      </c>
      <c r="L770" s="683"/>
      <c r="M770" s="683"/>
      <c r="N770" s="400">
        <f t="shared" si="29"/>
        <v>4.1736000000000004</v>
      </c>
      <c r="O770" s="400"/>
    </row>
    <row r="771" spans="1:15" s="109" customFormat="1" ht="15" customHeight="1">
      <c r="A771" s="376"/>
      <c r="B771" s="376"/>
      <c r="C771" s="1032" t="s">
        <v>1779</v>
      </c>
      <c r="D771" s="1032"/>
      <c r="E771" s="1032"/>
      <c r="F771" s="1032"/>
      <c r="G771" s="464"/>
      <c r="H771" s="431"/>
      <c r="I771" s="410"/>
      <c r="J771" s="410"/>
      <c r="K771" s="410"/>
      <c r="L771" s="683"/>
      <c r="M771" s="683"/>
      <c r="N771" s="400">
        <f t="shared" si="29"/>
        <v>0</v>
      </c>
      <c r="O771" s="400"/>
    </row>
    <row r="772" spans="1:15" s="109" customFormat="1" ht="15" customHeight="1">
      <c r="A772" s="376"/>
      <c r="B772" s="376"/>
      <c r="C772" s="1031" t="s">
        <v>1780</v>
      </c>
      <c r="D772" s="1031"/>
      <c r="E772" s="1031"/>
      <c r="F772" s="1031"/>
      <c r="G772" s="464" t="s">
        <v>61</v>
      </c>
      <c r="H772" s="431"/>
      <c r="I772" s="410">
        <v>3.01</v>
      </c>
      <c r="J772" s="410">
        <v>2.71</v>
      </c>
      <c r="K772" s="410">
        <v>0.12</v>
      </c>
      <c r="L772" s="683"/>
      <c r="M772" s="683"/>
      <c r="N772" s="400">
        <f t="shared" si="29"/>
        <v>8.1570999999999998</v>
      </c>
      <c r="O772" s="400"/>
    </row>
    <row r="773" spans="1:15" s="109" customFormat="1" ht="15" customHeight="1">
      <c r="A773" s="376"/>
      <c r="B773" s="376"/>
      <c r="C773" s="1031" t="s">
        <v>1781</v>
      </c>
      <c r="D773" s="1031"/>
      <c r="E773" s="1031"/>
      <c r="F773" s="1031"/>
      <c r="G773" s="464" t="s">
        <v>61</v>
      </c>
      <c r="H773" s="431"/>
      <c r="I773" s="410">
        <v>3.01</v>
      </c>
      <c r="J773" s="410">
        <v>2.71</v>
      </c>
      <c r="K773" s="410">
        <v>0.12</v>
      </c>
      <c r="L773" s="683"/>
      <c r="M773" s="683"/>
      <c r="N773" s="400">
        <f t="shared" si="29"/>
        <v>8.1570999999999998</v>
      </c>
      <c r="O773" s="400"/>
    </row>
    <row r="774" spans="1:15" s="109" customFormat="1" ht="15" customHeight="1">
      <c r="A774" s="376"/>
      <c r="B774" s="376"/>
      <c r="C774" s="1031" t="s">
        <v>1782</v>
      </c>
      <c r="D774" s="1031"/>
      <c r="E774" s="1031"/>
      <c r="F774" s="1031"/>
      <c r="G774" s="464" t="s">
        <v>61</v>
      </c>
      <c r="H774" s="431"/>
      <c r="I774" s="410">
        <v>4.0599999999999996</v>
      </c>
      <c r="J774" s="410">
        <v>2.71</v>
      </c>
      <c r="K774" s="410">
        <v>0.12</v>
      </c>
      <c r="L774" s="683"/>
      <c r="M774" s="683"/>
      <c r="N774" s="400">
        <f t="shared" si="29"/>
        <v>11.002599999999999</v>
      </c>
      <c r="O774" s="400"/>
    </row>
    <row r="775" spans="1:15" s="109" customFormat="1" ht="15" customHeight="1">
      <c r="A775" s="376"/>
      <c r="B775" s="376"/>
      <c r="C775" s="1031" t="s">
        <v>1783</v>
      </c>
      <c r="D775" s="1031"/>
      <c r="E775" s="1031"/>
      <c r="F775" s="1031"/>
      <c r="G775" s="464" t="s">
        <v>61</v>
      </c>
      <c r="H775" s="431"/>
      <c r="I775" s="410">
        <v>2.5099999999999998</v>
      </c>
      <c r="J775" s="410">
        <v>2.68</v>
      </c>
      <c r="K775" s="410">
        <v>0.12</v>
      </c>
      <c r="L775" s="683"/>
      <c r="M775" s="683"/>
      <c r="N775" s="400">
        <f t="shared" si="29"/>
        <v>6.7267999999999999</v>
      </c>
      <c r="O775" s="400"/>
    </row>
    <row r="776" spans="1:15" s="109" customFormat="1" ht="15" customHeight="1">
      <c r="A776" s="376"/>
      <c r="B776" s="376"/>
      <c r="C776" s="1031" t="s">
        <v>1784</v>
      </c>
      <c r="D776" s="1031"/>
      <c r="E776" s="1031"/>
      <c r="F776" s="1031"/>
      <c r="G776" s="464" t="s">
        <v>61</v>
      </c>
      <c r="H776" s="431"/>
      <c r="I776" s="410">
        <v>2.5099999999999998</v>
      </c>
      <c r="J776" s="410">
        <v>2.4</v>
      </c>
      <c r="K776" s="410">
        <v>0.12</v>
      </c>
      <c r="L776" s="683"/>
      <c r="M776" s="683"/>
      <c r="N776" s="400">
        <f t="shared" si="29"/>
        <v>6.0239999999999991</v>
      </c>
      <c r="O776" s="400"/>
    </row>
    <row r="777" spans="1:15" s="109" customFormat="1" ht="15" customHeight="1">
      <c r="A777" s="376"/>
      <c r="B777" s="376"/>
      <c r="C777" s="1031" t="s">
        <v>1785</v>
      </c>
      <c r="D777" s="1031"/>
      <c r="E777" s="1031"/>
      <c r="F777" s="1031"/>
      <c r="G777" s="464" t="s">
        <v>61</v>
      </c>
      <c r="H777" s="431"/>
      <c r="I777" s="410">
        <v>3.36</v>
      </c>
      <c r="J777" s="410">
        <v>2.09</v>
      </c>
      <c r="K777" s="410">
        <v>0.12</v>
      </c>
      <c r="L777" s="683"/>
      <c r="M777" s="683"/>
      <c r="N777" s="400">
        <f t="shared" si="29"/>
        <v>7.0223999999999993</v>
      </c>
      <c r="O777" s="400"/>
    </row>
    <row r="778" spans="1:15" s="109" customFormat="1" ht="15" customHeight="1">
      <c r="A778" s="376"/>
      <c r="B778" s="376"/>
      <c r="C778" s="1031" t="s">
        <v>1786</v>
      </c>
      <c r="D778" s="1031"/>
      <c r="E778" s="1031"/>
      <c r="F778" s="1031"/>
      <c r="G778" s="464" t="s">
        <v>61</v>
      </c>
      <c r="H778" s="431"/>
      <c r="I778" s="410">
        <v>3.06</v>
      </c>
      <c r="J778" s="410">
        <v>2.7</v>
      </c>
      <c r="K778" s="410">
        <v>0.12</v>
      </c>
      <c r="L778" s="683"/>
      <c r="M778" s="683"/>
      <c r="N778" s="400">
        <f t="shared" si="29"/>
        <v>8.2620000000000005</v>
      </c>
      <c r="O778" s="400"/>
    </row>
    <row r="779" spans="1:15" s="109" customFormat="1" ht="15" customHeight="1">
      <c r="A779" s="376"/>
      <c r="B779" s="376"/>
      <c r="C779" s="1031" t="s">
        <v>1787</v>
      </c>
      <c r="D779" s="1031"/>
      <c r="E779" s="1031"/>
      <c r="F779" s="1031"/>
      <c r="G779" s="464" t="s">
        <v>61</v>
      </c>
      <c r="H779" s="431"/>
      <c r="I779" s="410">
        <v>3.36</v>
      </c>
      <c r="J779" s="410">
        <v>2.7</v>
      </c>
      <c r="K779" s="410">
        <v>0.12</v>
      </c>
      <c r="L779" s="683"/>
      <c r="M779" s="683"/>
      <c r="N779" s="400">
        <f t="shared" si="29"/>
        <v>9.072000000000001</v>
      </c>
      <c r="O779" s="400"/>
    </row>
    <row r="780" spans="1:15" s="109" customFormat="1" ht="15" customHeight="1">
      <c r="A780" s="376"/>
      <c r="B780" s="376"/>
      <c r="C780" s="1031" t="s">
        <v>1788</v>
      </c>
      <c r="D780" s="1031"/>
      <c r="E780" s="1031"/>
      <c r="F780" s="1031"/>
      <c r="G780" s="464" t="s">
        <v>61</v>
      </c>
      <c r="H780" s="431"/>
      <c r="I780" s="410">
        <v>4.08</v>
      </c>
      <c r="J780" s="410">
        <v>2.71</v>
      </c>
      <c r="K780" s="410">
        <v>0.12</v>
      </c>
      <c r="L780" s="683"/>
      <c r="M780" s="683"/>
      <c r="N780" s="400">
        <f t="shared" si="29"/>
        <v>11.056800000000001</v>
      </c>
      <c r="O780" s="400"/>
    </row>
    <row r="781" spans="1:15" s="109" customFormat="1" ht="15" customHeight="1">
      <c r="A781" s="376"/>
      <c r="B781" s="376"/>
      <c r="C781" s="1031" t="s">
        <v>1789</v>
      </c>
      <c r="D781" s="1031"/>
      <c r="E781" s="1031"/>
      <c r="F781" s="1031"/>
      <c r="G781" s="464" t="s">
        <v>61</v>
      </c>
      <c r="H781" s="431"/>
      <c r="I781" s="410">
        <v>2.5099999999999998</v>
      </c>
      <c r="J781" s="410">
        <v>2.4</v>
      </c>
      <c r="K781" s="410">
        <v>0.12</v>
      </c>
      <c r="L781" s="683"/>
      <c r="M781" s="683"/>
      <c r="N781" s="400">
        <f t="shared" si="29"/>
        <v>6.0239999999999991</v>
      </c>
      <c r="O781" s="400"/>
    </row>
    <row r="782" spans="1:15" s="109" customFormat="1" ht="15" customHeight="1">
      <c r="A782" s="376"/>
      <c r="B782" s="376"/>
      <c r="C782" s="1031" t="s">
        <v>1790</v>
      </c>
      <c r="D782" s="1031"/>
      <c r="E782" s="1031"/>
      <c r="F782" s="1031"/>
      <c r="G782" s="464" t="s">
        <v>61</v>
      </c>
      <c r="H782" s="431"/>
      <c r="I782" s="410">
        <v>3.47</v>
      </c>
      <c r="J782" s="410">
        <v>4.59</v>
      </c>
      <c r="K782" s="410">
        <v>0.12</v>
      </c>
      <c r="L782" s="683"/>
      <c r="M782" s="683"/>
      <c r="N782" s="400">
        <f t="shared" si="29"/>
        <v>15.927300000000001</v>
      </c>
      <c r="O782" s="400"/>
    </row>
    <row r="783" spans="1:15" s="109" customFormat="1" ht="15" customHeight="1">
      <c r="A783" s="376"/>
      <c r="B783" s="376"/>
      <c r="C783" s="1031" t="s">
        <v>1791</v>
      </c>
      <c r="D783" s="1031"/>
      <c r="E783" s="1031"/>
      <c r="F783" s="1031"/>
      <c r="G783" s="464" t="s">
        <v>61</v>
      </c>
      <c r="H783" s="431"/>
      <c r="I783" s="410">
        <v>3.61</v>
      </c>
      <c r="J783" s="410">
        <v>6.4</v>
      </c>
      <c r="K783" s="410">
        <v>0.12</v>
      </c>
      <c r="L783" s="683"/>
      <c r="M783" s="683"/>
      <c r="N783" s="400">
        <f t="shared" si="29"/>
        <v>23.103999999999999</v>
      </c>
      <c r="O783" s="400"/>
    </row>
    <row r="784" spans="1:15" s="109" customFormat="1" ht="15" customHeight="1">
      <c r="A784" s="376"/>
      <c r="B784" s="376"/>
      <c r="C784" s="1031" t="s">
        <v>1792</v>
      </c>
      <c r="D784" s="1031"/>
      <c r="E784" s="1031"/>
      <c r="F784" s="1031"/>
      <c r="G784" s="464" t="s">
        <v>61</v>
      </c>
      <c r="H784" s="431"/>
      <c r="I784" s="410">
        <v>3.61</v>
      </c>
      <c r="J784" s="410">
        <v>6.68</v>
      </c>
      <c r="K784" s="410">
        <v>0.12</v>
      </c>
      <c r="L784" s="683"/>
      <c r="M784" s="683"/>
      <c r="N784" s="400">
        <f t="shared" si="29"/>
        <v>24.114799999999999</v>
      </c>
      <c r="O784" s="400"/>
    </row>
    <row r="785" spans="1:15" s="109" customFormat="1" ht="15" customHeight="1">
      <c r="A785" s="376"/>
      <c r="B785" s="376"/>
      <c r="C785" s="1031" t="s">
        <v>1793</v>
      </c>
      <c r="D785" s="1031"/>
      <c r="E785" s="1031"/>
      <c r="F785" s="1031"/>
      <c r="G785" s="464" t="s">
        <v>61</v>
      </c>
      <c r="H785" s="431"/>
      <c r="I785" s="410">
        <v>3.61</v>
      </c>
      <c r="J785" s="410">
        <v>6.68</v>
      </c>
      <c r="K785" s="410">
        <v>0.12</v>
      </c>
      <c r="L785" s="683"/>
      <c r="M785" s="683"/>
      <c r="N785" s="400">
        <f t="shared" si="29"/>
        <v>24.114799999999999</v>
      </c>
      <c r="O785" s="400"/>
    </row>
    <row r="786" spans="1:15" s="109" customFormat="1" ht="15" customHeight="1">
      <c r="A786" s="376"/>
      <c r="B786" s="376"/>
      <c r="C786" s="1031" t="s">
        <v>1794</v>
      </c>
      <c r="D786" s="1031"/>
      <c r="E786" s="1031"/>
      <c r="F786" s="1031"/>
      <c r="G786" s="464" t="s">
        <v>61</v>
      </c>
      <c r="H786" s="431"/>
      <c r="I786" s="410">
        <v>3.61</v>
      </c>
      <c r="J786" s="410">
        <v>6.68</v>
      </c>
      <c r="K786" s="410">
        <v>0.12</v>
      </c>
      <c r="L786" s="683"/>
      <c r="M786" s="683"/>
      <c r="N786" s="400">
        <f t="shared" si="29"/>
        <v>24.114799999999999</v>
      </c>
      <c r="O786" s="400"/>
    </row>
    <row r="787" spans="1:15" s="109" customFormat="1" ht="15" customHeight="1">
      <c r="A787" s="376"/>
      <c r="B787" s="376"/>
      <c r="C787" s="1031" t="s">
        <v>1795</v>
      </c>
      <c r="D787" s="1031"/>
      <c r="E787" s="1031"/>
      <c r="F787" s="1031"/>
      <c r="G787" s="464" t="s">
        <v>61</v>
      </c>
      <c r="H787" s="431"/>
      <c r="I787" s="410">
        <v>3.01</v>
      </c>
      <c r="J787" s="410">
        <v>1.77</v>
      </c>
      <c r="K787" s="410">
        <v>0.12</v>
      </c>
      <c r="L787" s="683"/>
      <c r="M787" s="683"/>
      <c r="N787" s="400">
        <f t="shared" si="29"/>
        <v>5.3277000000000001</v>
      </c>
      <c r="O787" s="400"/>
    </row>
    <row r="788" spans="1:15" s="109" customFormat="1" ht="15" customHeight="1">
      <c r="A788" s="376"/>
      <c r="B788" s="376"/>
      <c r="C788" s="1031" t="s">
        <v>1796</v>
      </c>
      <c r="D788" s="1031"/>
      <c r="E788" s="1031"/>
      <c r="F788" s="1031"/>
      <c r="G788" s="464" t="s">
        <v>61</v>
      </c>
      <c r="H788" s="431"/>
      <c r="I788" s="410">
        <v>3.18</v>
      </c>
      <c r="J788" s="410">
        <v>3.88</v>
      </c>
      <c r="K788" s="410">
        <v>0.12</v>
      </c>
      <c r="L788" s="683"/>
      <c r="M788" s="683"/>
      <c r="N788" s="400">
        <f t="shared" si="29"/>
        <v>12.3384</v>
      </c>
      <c r="O788" s="400"/>
    </row>
    <row r="789" spans="1:15" s="109" customFormat="1" ht="15" customHeight="1">
      <c r="A789" s="376"/>
      <c r="B789" s="376"/>
      <c r="C789" s="1028" t="s">
        <v>1558</v>
      </c>
      <c r="D789" s="1028"/>
      <c r="E789" s="1028"/>
      <c r="F789" s="1028"/>
      <c r="G789" s="442"/>
      <c r="H789" s="609"/>
      <c r="I789" s="609"/>
      <c r="J789" s="609"/>
      <c r="K789" s="610"/>
      <c r="L789" s="610"/>
      <c r="M789" s="610"/>
      <c r="N789" s="680"/>
      <c r="O789" s="400"/>
    </row>
    <row r="790" spans="1:15" s="109" customFormat="1" ht="15" customHeight="1">
      <c r="A790" s="376"/>
      <c r="B790" s="376"/>
      <c r="C790" s="1009" t="s">
        <v>1722</v>
      </c>
      <c r="D790" s="1009"/>
      <c r="E790" s="1009"/>
      <c r="F790" s="1009"/>
      <c r="G790" s="464" t="s">
        <v>61</v>
      </c>
      <c r="H790" s="609">
        <v>2</v>
      </c>
      <c r="I790" s="609">
        <v>2.5</v>
      </c>
      <c r="J790" s="609">
        <v>6</v>
      </c>
      <c r="K790" s="610">
        <f>0.5+1.7+0.15</f>
        <v>2.35</v>
      </c>
      <c r="L790" s="610"/>
      <c r="M790" s="610"/>
      <c r="N790" s="680">
        <f>((I790+J790)*2)*K790*H790</f>
        <v>79.900000000000006</v>
      </c>
      <c r="O790" s="400"/>
    </row>
    <row r="791" spans="1:15" s="109" customFormat="1" ht="15" customHeight="1">
      <c r="A791" s="376"/>
      <c r="B791" s="376"/>
      <c r="C791" s="1009" t="s">
        <v>1723</v>
      </c>
      <c r="D791" s="1009"/>
      <c r="E791" s="1009"/>
      <c r="F791" s="1009"/>
      <c r="G791" s="464" t="s">
        <v>61</v>
      </c>
      <c r="H791" s="609">
        <v>2</v>
      </c>
      <c r="I791" s="609">
        <v>2.5</v>
      </c>
      <c r="J791" s="609">
        <v>6</v>
      </c>
      <c r="K791" s="610">
        <f>0.5+1.7+0.15</f>
        <v>2.35</v>
      </c>
      <c r="L791" s="610"/>
      <c r="M791" s="610"/>
      <c r="N791" s="680">
        <f>I791*J791*H791</f>
        <v>30</v>
      </c>
      <c r="O791" s="400"/>
    </row>
    <row r="792" spans="1:15" s="109" customFormat="1" ht="15" customHeight="1">
      <c r="A792" s="376"/>
      <c r="B792" s="376"/>
      <c r="C792" s="1009" t="s">
        <v>1724</v>
      </c>
      <c r="D792" s="1009"/>
      <c r="E792" s="1009"/>
      <c r="F792" s="1009"/>
      <c r="G792" s="464" t="s">
        <v>61</v>
      </c>
      <c r="H792" s="609">
        <v>2</v>
      </c>
      <c r="I792" s="609">
        <v>1.5</v>
      </c>
      <c r="J792" s="609">
        <v>1.8</v>
      </c>
      <c r="K792" s="610">
        <v>0.6</v>
      </c>
      <c r="L792" s="610"/>
      <c r="M792" s="610"/>
      <c r="N792" s="680">
        <f>((I792+J792)*2)*K792*H792</f>
        <v>7.919999999999999</v>
      </c>
      <c r="O792" s="400"/>
    </row>
    <row r="793" spans="1:15" s="109" customFormat="1" ht="15" customHeight="1">
      <c r="A793" s="376"/>
      <c r="B793" s="376"/>
      <c r="C793" s="1009" t="s">
        <v>1725</v>
      </c>
      <c r="D793" s="1009"/>
      <c r="E793" s="1009"/>
      <c r="F793" s="1009"/>
      <c r="G793" s="464" t="s">
        <v>61</v>
      </c>
      <c r="H793" s="609">
        <v>2</v>
      </c>
      <c r="I793" s="609">
        <v>1.5</v>
      </c>
      <c r="J793" s="609">
        <v>1.8</v>
      </c>
      <c r="K793" s="610">
        <v>0.6</v>
      </c>
      <c r="L793" s="610"/>
      <c r="M793" s="610"/>
      <c r="N793" s="680">
        <f>I793*J793*H793</f>
        <v>5.4</v>
      </c>
      <c r="O793" s="400"/>
    </row>
    <row r="794" spans="1:15" s="109" customFormat="1" ht="15" customHeight="1">
      <c r="A794" s="376"/>
      <c r="B794" s="376"/>
      <c r="C794" s="1028" t="s">
        <v>1561</v>
      </c>
      <c r="D794" s="1028"/>
      <c r="E794" s="1028"/>
      <c r="F794" s="1028"/>
      <c r="G794" s="442"/>
      <c r="H794" s="609"/>
      <c r="I794" s="609"/>
      <c r="J794" s="609"/>
      <c r="K794" s="610"/>
      <c r="L794" s="610"/>
      <c r="M794" s="610"/>
      <c r="N794" s="680"/>
      <c r="O794" s="400"/>
    </row>
    <row r="795" spans="1:15" s="109" customFormat="1" ht="15" customHeight="1">
      <c r="A795" s="376"/>
      <c r="B795" s="376"/>
      <c r="C795" s="1009" t="s">
        <v>1801</v>
      </c>
      <c r="D795" s="1009"/>
      <c r="E795" s="1009"/>
      <c r="F795" s="1009"/>
      <c r="G795" s="464" t="s">
        <v>61</v>
      </c>
      <c r="H795" s="609">
        <f>4*2</f>
        <v>8</v>
      </c>
      <c r="I795" s="609"/>
      <c r="J795" s="609"/>
      <c r="K795" s="610">
        <v>18</v>
      </c>
      <c r="L795" s="610"/>
      <c r="M795" s="610"/>
      <c r="N795" s="680">
        <f>0.65*0.65*3.14*H795</f>
        <v>10.613200000000001</v>
      </c>
      <c r="O795" s="400"/>
    </row>
    <row r="796" spans="1:15" s="109" customFormat="1" ht="15" customHeight="1">
      <c r="A796" s="376"/>
      <c r="B796" s="376"/>
      <c r="C796" s="1009" t="s">
        <v>1727</v>
      </c>
      <c r="D796" s="1009"/>
      <c r="E796" s="1009"/>
      <c r="F796" s="1009"/>
      <c r="G796" s="464" t="s">
        <v>61</v>
      </c>
      <c r="H796" s="609">
        <v>2</v>
      </c>
      <c r="I796" s="609">
        <v>2.2000000000000002</v>
      </c>
      <c r="J796" s="609">
        <v>3.9</v>
      </c>
      <c r="K796" s="610">
        <v>3.45</v>
      </c>
      <c r="L796" s="610"/>
      <c r="M796" s="610"/>
      <c r="N796" s="680">
        <f>((I796+J796)*2)*K796*H796</f>
        <v>84.179999999999993</v>
      </c>
      <c r="O796" s="400"/>
    </row>
    <row r="797" spans="1:15" s="109" customFormat="1" ht="15" customHeight="1">
      <c r="A797" s="376"/>
      <c r="B797" s="376"/>
      <c r="C797" s="1009" t="s">
        <v>1728</v>
      </c>
      <c r="D797" s="1009"/>
      <c r="E797" s="1009"/>
      <c r="F797" s="1009"/>
      <c r="G797" s="464" t="s">
        <v>61</v>
      </c>
      <c r="H797" s="609">
        <v>2</v>
      </c>
      <c r="I797" s="609">
        <v>2.2000000000000002</v>
      </c>
      <c r="J797" s="609">
        <v>3.9</v>
      </c>
      <c r="K797" s="610">
        <v>3.45</v>
      </c>
      <c r="L797" s="610"/>
      <c r="M797" s="610"/>
      <c r="N797" s="680">
        <f>I797*J797*H797</f>
        <v>17.16</v>
      </c>
      <c r="O797" s="400"/>
    </row>
    <row r="798" spans="1:15" s="109" customFormat="1" ht="15" customHeight="1">
      <c r="A798" s="376"/>
      <c r="B798" s="376"/>
      <c r="C798" s="1009" t="s">
        <v>1729</v>
      </c>
      <c r="D798" s="1009"/>
      <c r="E798" s="1009"/>
      <c r="F798" s="1009"/>
      <c r="G798" s="464" t="s">
        <v>61</v>
      </c>
      <c r="H798" s="609">
        <v>2</v>
      </c>
      <c r="I798" s="690">
        <v>1.85</v>
      </c>
      <c r="J798" s="609">
        <v>1.85</v>
      </c>
      <c r="K798" s="610">
        <v>3.75</v>
      </c>
      <c r="L798" s="610"/>
      <c r="M798" s="610"/>
      <c r="N798" s="680">
        <f>((I798+J798)*2)*K798*H798</f>
        <v>55.5</v>
      </c>
      <c r="O798" s="400"/>
    </row>
    <row r="799" spans="1:15" s="109" customFormat="1" ht="15" customHeight="1">
      <c r="A799" s="376"/>
      <c r="B799" s="376"/>
      <c r="C799" s="1009" t="s">
        <v>1730</v>
      </c>
      <c r="D799" s="1009"/>
      <c r="E799" s="1009"/>
      <c r="F799" s="1009"/>
      <c r="G799" s="464" t="s">
        <v>61</v>
      </c>
      <c r="H799" s="609">
        <v>2</v>
      </c>
      <c r="I799" s="690">
        <v>1.85</v>
      </c>
      <c r="J799" s="609">
        <v>1.85</v>
      </c>
      <c r="K799" s="610">
        <v>3.75</v>
      </c>
      <c r="L799" s="432"/>
      <c r="M799" s="692"/>
      <c r="N799" s="680">
        <f>I799*J799*H799</f>
        <v>6.8450000000000006</v>
      </c>
      <c r="O799" s="400"/>
    </row>
    <row r="800" spans="1:15" s="109" customFormat="1" ht="15" customHeight="1">
      <c r="A800" s="376"/>
      <c r="B800" s="376"/>
      <c r="C800" s="1033"/>
      <c r="D800" s="1033"/>
      <c r="E800" s="1033"/>
      <c r="F800" s="1033"/>
      <c r="G800" s="343"/>
      <c r="H800" s="412"/>
      <c r="I800" s="415"/>
      <c r="J800" s="413"/>
      <c r="K800" s="413"/>
      <c r="L800" s="400"/>
      <c r="M800" s="411"/>
      <c r="N800" s="400"/>
      <c r="O800" s="400"/>
    </row>
    <row r="801" spans="1:15" s="109" customFormat="1" ht="15" customHeight="1">
      <c r="A801" s="373" t="s">
        <v>11</v>
      </c>
      <c r="B801" s="375" t="s">
        <v>13</v>
      </c>
      <c r="C801" s="1007" t="s">
        <v>1443</v>
      </c>
      <c r="D801" s="1007"/>
      <c r="E801" s="1007"/>
      <c r="F801" s="1007"/>
      <c r="G801" s="375" t="s">
        <v>15</v>
      </c>
      <c r="H801" s="386" t="s">
        <v>1444</v>
      </c>
      <c r="I801" s="416" t="s">
        <v>1445</v>
      </c>
      <c r="J801" s="386" t="s">
        <v>1446</v>
      </c>
      <c r="K801" s="386" t="s">
        <v>1447</v>
      </c>
      <c r="L801" s="375" t="s">
        <v>1448</v>
      </c>
      <c r="M801" s="375" t="s">
        <v>1457</v>
      </c>
      <c r="N801" s="375" t="s">
        <v>1450</v>
      </c>
      <c r="O801" s="386" t="s">
        <v>1451</v>
      </c>
    </row>
    <row r="802" spans="1:15" s="109" customFormat="1" ht="50.25" customHeight="1">
      <c r="A802" s="377">
        <f>ORÇAMENTO!A88</f>
        <v>92759</v>
      </c>
      <c r="B802" s="377" t="str">
        <f>ORÇAMENTO!C88</f>
        <v>5.03.01</v>
      </c>
      <c r="C802" s="1003" t="str">
        <f>ORÇAMENTO!D88</f>
        <v>ARMAÇÃO DE PILAR OU VIGA DE ESTRUTURA CONVENCIONAL DE CONCRETO ARMADO UTILIZANDO AÇO CA-60 DE 5,0 MM - MONTAGEM. AF_06/2022</v>
      </c>
      <c r="D802" s="1003"/>
      <c r="E802" s="1003"/>
      <c r="F802" s="1003"/>
      <c r="G802" s="377" t="str">
        <f>ORÇAMENTO!E88</f>
        <v>KG</v>
      </c>
      <c r="H802" s="380">
        <f>SUM(H803:H807)</f>
        <v>968</v>
      </c>
      <c r="I802" s="387"/>
      <c r="J802" s="380"/>
      <c r="K802" s="388"/>
      <c r="L802" s="380"/>
      <c r="M802" s="379"/>
      <c r="N802" s="380"/>
      <c r="O802" s="380"/>
    </row>
    <row r="803" spans="1:15" s="109" customFormat="1" ht="12.75" customHeight="1">
      <c r="A803" s="342"/>
      <c r="B803" s="342"/>
      <c r="C803" s="1062" t="s">
        <v>1601</v>
      </c>
      <c r="D803" s="1062"/>
      <c r="E803" s="1062"/>
      <c r="F803" s="1062"/>
      <c r="G803" s="389" t="s">
        <v>170</v>
      </c>
      <c r="H803" s="340">
        <v>338</v>
      </c>
      <c r="I803" s="401"/>
      <c r="J803" s="400"/>
      <c r="K803" s="414"/>
      <c r="L803" s="414"/>
      <c r="M803" s="414"/>
      <c r="N803" s="381"/>
      <c r="O803" s="381"/>
    </row>
    <row r="804" spans="1:15" s="109" customFormat="1" ht="12.75" customHeight="1">
      <c r="A804" s="342"/>
      <c r="B804" s="342"/>
      <c r="C804" s="1062" t="s">
        <v>1802</v>
      </c>
      <c r="D804" s="1062"/>
      <c r="E804" s="1062"/>
      <c r="F804" s="1062"/>
      <c r="G804" s="389" t="s">
        <v>170</v>
      </c>
      <c r="H804" s="340">
        <f>129+115</f>
        <v>244</v>
      </c>
      <c r="I804" s="401"/>
      <c r="J804" s="400"/>
      <c r="K804" s="414"/>
      <c r="L804" s="414"/>
      <c r="M804" s="414"/>
      <c r="N804" s="381"/>
      <c r="O804" s="381"/>
    </row>
    <row r="805" spans="1:15" s="109" customFormat="1">
      <c r="A805" s="342"/>
      <c r="B805" s="342"/>
      <c r="C805" s="1062" t="s">
        <v>1803</v>
      </c>
      <c r="D805" s="1062"/>
      <c r="E805" s="1062"/>
      <c r="F805" s="1062"/>
      <c r="G805" s="389" t="s">
        <v>170</v>
      </c>
      <c r="H805" s="340">
        <f>110+96+113</f>
        <v>319</v>
      </c>
      <c r="I805" s="401"/>
      <c r="J805" s="400"/>
      <c r="K805" s="414"/>
      <c r="L805" s="414"/>
      <c r="M805" s="414"/>
      <c r="N805" s="381"/>
      <c r="O805" s="381"/>
    </row>
    <row r="806" spans="1:15" s="109" customFormat="1" ht="26.25" customHeight="1">
      <c r="A806" s="342"/>
      <c r="B806" s="342"/>
      <c r="C806" s="1015" t="s">
        <v>1804</v>
      </c>
      <c r="D806" s="1015"/>
      <c r="E806" s="1015"/>
      <c r="F806" s="1015"/>
      <c r="G806" s="389" t="s">
        <v>170</v>
      </c>
      <c r="H806" s="340">
        <v>67</v>
      </c>
      <c r="I806" s="401"/>
      <c r="J806" s="400"/>
      <c r="K806" s="414"/>
      <c r="L806" s="414"/>
      <c r="M806" s="414"/>
      <c r="N806" s="381"/>
      <c r="O806" s="381"/>
    </row>
    <row r="807" spans="1:15" s="109" customFormat="1">
      <c r="A807" s="342"/>
      <c r="B807" s="342"/>
      <c r="C807" s="1015"/>
      <c r="D807" s="1015"/>
      <c r="E807" s="1015"/>
      <c r="F807" s="1015"/>
      <c r="G807" s="389" t="s">
        <v>170</v>
      </c>
      <c r="H807" s="340"/>
      <c r="I807" s="401"/>
      <c r="J807" s="400"/>
      <c r="K807" s="414"/>
      <c r="L807" s="414"/>
      <c r="M807" s="414"/>
      <c r="N807" s="381"/>
      <c r="O807" s="381"/>
    </row>
    <row r="808" spans="1:15" s="109" customFormat="1" ht="48.75" customHeight="1">
      <c r="A808" s="377">
        <f>ORÇAMENTO!A89</f>
        <v>92760</v>
      </c>
      <c r="B808" s="377" t="str">
        <f>ORÇAMENTO!C89</f>
        <v>5.03.02</v>
      </c>
      <c r="C808" s="1003" t="str">
        <f>ORÇAMENTO!D89</f>
        <v>ARMAÇÃO DE PILAR OU VIGA DE ESTRUTURA CONVENCIONAL DE CONCRETO ARMADO UTILIZANDO AÇO CA-50 DE 6,3 MM - MONTAGEM. AF_06/2022</v>
      </c>
      <c r="D808" s="1003"/>
      <c r="E808" s="1003"/>
      <c r="F808" s="1003"/>
      <c r="G808" s="377" t="str">
        <f>ORÇAMENTO!E89</f>
        <v>KG</v>
      </c>
      <c r="H808" s="380">
        <f>SUM(H809:H813)</f>
        <v>695</v>
      </c>
      <c r="I808" s="387"/>
      <c r="J808" s="380"/>
      <c r="K808" s="388"/>
      <c r="L808" s="380"/>
      <c r="M808" s="379"/>
      <c r="N808" s="380"/>
      <c r="O808" s="380"/>
    </row>
    <row r="809" spans="1:15" s="109" customFormat="1" ht="12.75" customHeight="1">
      <c r="A809" s="342"/>
      <c r="B809" s="342"/>
      <c r="C809" s="1062" t="s">
        <v>1601</v>
      </c>
      <c r="D809" s="1062"/>
      <c r="E809" s="1062"/>
      <c r="F809" s="1062"/>
      <c r="G809" s="389" t="s">
        <v>170</v>
      </c>
      <c r="H809" s="340">
        <v>52</v>
      </c>
      <c r="I809" s="401"/>
      <c r="J809" s="400"/>
      <c r="K809" s="414"/>
      <c r="L809" s="414"/>
      <c r="M809" s="414"/>
      <c r="N809" s="381"/>
      <c r="O809" s="381"/>
    </row>
    <row r="810" spans="1:15" s="109" customFormat="1" ht="12.75" customHeight="1">
      <c r="A810" s="342"/>
      <c r="B810" s="342"/>
      <c r="C810" s="1062" t="s">
        <v>1805</v>
      </c>
      <c r="D810" s="1062"/>
      <c r="E810" s="1062"/>
      <c r="F810" s="1062"/>
      <c r="G810" s="389" t="s">
        <v>170</v>
      </c>
      <c r="H810" s="340">
        <v>186</v>
      </c>
      <c r="I810" s="401"/>
      <c r="J810" s="400"/>
      <c r="K810" s="414"/>
      <c r="L810" s="414"/>
      <c r="M810" s="414"/>
      <c r="N810" s="381"/>
      <c r="O810" s="381"/>
    </row>
    <row r="811" spans="1:15" s="109" customFormat="1" ht="12.75" customHeight="1">
      <c r="A811" s="342"/>
      <c r="B811" s="342"/>
      <c r="C811" s="1062" t="s">
        <v>1802</v>
      </c>
      <c r="D811" s="1062"/>
      <c r="E811" s="1062"/>
      <c r="F811" s="1062"/>
      <c r="G811" s="389" t="s">
        <v>170</v>
      </c>
      <c r="H811" s="340">
        <f>55</f>
        <v>55</v>
      </c>
      <c r="I811" s="401"/>
      <c r="J811" s="400"/>
      <c r="K811" s="414"/>
      <c r="L811" s="414"/>
      <c r="M811" s="414"/>
      <c r="N811" s="381"/>
      <c r="O811" s="381"/>
    </row>
    <row r="812" spans="1:15" s="109" customFormat="1">
      <c r="A812" s="342"/>
      <c r="B812" s="342"/>
      <c r="C812" s="1062" t="s">
        <v>1803</v>
      </c>
      <c r="D812" s="1062"/>
      <c r="E812" s="1062"/>
      <c r="F812" s="1062"/>
      <c r="G812" s="389" t="s">
        <v>170</v>
      </c>
      <c r="H812" s="340">
        <f>43+281+24</f>
        <v>348</v>
      </c>
      <c r="I812" s="401"/>
      <c r="J812" s="400"/>
      <c r="K812" s="414"/>
      <c r="L812" s="414"/>
      <c r="M812" s="414"/>
      <c r="N812" s="381"/>
      <c r="O812" s="381"/>
    </row>
    <row r="813" spans="1:15" s="109" customFormat="1" ht="27.75" customHeight="1">
      <c r="A813" s="342"/>
      <c r="B813" s="342"/>
      <c r="C813" s="1015" t="s">
        <v>1804</v>
      </c>
      <c r="D813" s="1015"/>
      <c r="E813" s="1015"/>
      <c r="F813" s="1015"/>
      <c r="G813" s="389" t="s">
        <v>170</v>
      </c>
      <c r="H813" s="340">
        <v>54</v>
      </c>
      <c r="I813" s="401"/>
      <c r="J813" s="400"/>
      <c r="K813" s="414"/>
      <c r="L813" s="414"/>
      <c r="M813" s="414"/>
      <c r="N813" s="381"/>
      <c r="O813" s="381"/>
    </row>
    <row r="814" spans="1:15" s="109" customFormat="1">
      <c r="A814" s="342"/>
      <c r="B814" s="342"/>
      <c r="C814" s="1015" t="s">
        <v>1587</v>
      </c>
      <c r="D814" s="1015"/>
      <c r="E814" s="1015"/>
      <c r="F814" s="1015"/>
      <c r="G814" s="389" t="s">
        <v>170</v>
      </c>
      <c r="H814" s="340">
        <v>581</v>
      </c>
      <c r="I814" s="401"/>
      <c r="J814" s="400"/>
      <c r="K814" s="414"/>
      <c r="L814" s="414"/>
      <c r="M814" s="414"/>
      <c r="N814" s="381"/>
      <c r="O814" s="381"/>
    </row>
    <row r="815" spans="1:15" s="109" customFormat="1" ht="50.25" customHeight="1">
      <c r="A815" s="377">
        <f>ORÇAMENTO!A90</f>
        <v>92761</v>
      </c>
      <c r="B815" s="377" t="str">
        <f>ORÇAMENTO!C90</f>
        <v>5.03.03</v>
      </c>
      <c r="C815" s="1003" t="str">
        <f>ORÇAMENTO!D90</f>
        <v>ARMAÇÃO DE PILAR OU VIGA DE ESTRUTURA CONVENCIONAL DE CONCRETO ARMADO UTILIZANDO AÇO CA-50 DE 8,0 MM - MONTAGEM. AF_06/2022</v>
      </c>
      <c r="D815" s="1003"/>
      <c r="E815" s="1003"/>
      <c r="F815" s="1003"/>
      <c r="G815" s="377" t="str">
        <f>ORÇAMENTO!E90</f>
        <v>KG</v>
      </c>
      <c r="H815" s="380">
        <f>SUM(H816:H820)</f>
        <v>525</v>
      </c>
      <c r="I815" s="387"/>
      <c r="J815" s="380"/>
      <c r="K815" s="388"/>
      <c r="L815" s="380"/>
      <c r="M815" s="379"/>
      <c r="N815" s="380"/>
      <c r="O815" s="380"/>
    </row>
    <row r="816" spans="1:15" s="109" customFormat="1">
      <c r="A816" s="342"/>
      <c r="B816" s="342"/>
      <c r="C816" s="1062" t="s">
        <v>1802</v>
      </c>
      <c r="D816" s="1062"/>
      <c r="E816" s="1062"/>
      <c r="F816" s="1062"/>
      <c r="G816" s="389" t="s">
        <v>170</v>
      </c>
      <c r="H816" s="340">
        <f>47+104</f>
        <v>151</v>
      </c>
      <c r="I816" s="401"/>
      <c r="J816" s="400"/>
      <c r="K816" s="414"/>
      <c r="L816" s="414"/>
      <c r="M816" s="414"/>
      <c r="N816" s="381"/>
      <c r="O816" s="381"/>
    </row>
    <row r="817" spans="1:15" s="109" customFormat="1">
      <c r="A817" s="342"/>
      <c r="B817" s="342"/>
      <c r="C817" s="1062" t="s">
        <v>1803</v>
      </c>
      <c r="D817" s="1062"/>
      <c r="E817" s="1062"/>
      <c r="F817" s="1062"/>
      <c r="G817" s="389" t="s">
        <v>170</v>
      </c>
      <c r="H817" s="340">
        <f>56+48+51</f>
        <v>155</v>
      </c>
      <c r="I817" s="401"/>
      <c r="J817" s="400"/>
      <c r="K817" s="414"/>
      <c r="L817" s="414"/>
      <c r="M817" s="414"/>
      <c r="N817" s="381"/>
      <c r="O817" s="381"/>
    </row>
    <row r="818" spans="1:15" s="109" customFormat="1" ht="25.5" customHeight="1">
      <c r="A818" s="342"/>
      <c r="B818" s="342"/>
      <c r="C818" s="1015" t="s">
        <v>1804</v>
      </c>
      <c r="D818" s="1015"/>
      <c r="E818" s="1015"/>
      <c r="F818" s="1015"/>
      <c r="G818" s="389" t="s">
        <v>170</v>
      </c>
      <c r="H818" s="340">
        <v>106</v>
      </c>
      <c r="I818" s="401"/>
      <c r="J818" s="400"/>
      <c r="K818" s="414"/>
      <c r="L818" s="414"/>
      <c r="M818" s="414"/>
      <c r="N818" s="381"/>
      <c r="O818" s="381"/>
    </row>
    <row r="819" spans="1:15" s="109" customFormat="1">
      <c r="A819" s="342"/>
      <c r="B819" s="342"/>
      <c r="C819" s="1015" t="s">
        <v>1587</v>
      </c>
      <c r="D819" s="1015"/>
      <c r="E819" s="1015"/>
      <c r="F819" s="1015"/>
      <c r="G819" s="389" t="s">
        <v>170</v>
      </c>
      <c r="H819" s="340">
        <v>113</v>
      </c>
      <c r="I819" s="401"/>
      <c r="J819" s="400"/>
      <c r="K819" s="414"/>
      <c r="L819" s="414"/>
      <c r="M819" s="414"/>
      <c r="N819" s="381"/>
      <c r="O819" s="381"/>
    </row>
    <row r="820" spans="1:15" s="109" customFormat="1">
      <c r="A820" s="342"/>
      <c r="B820" s="342"/>
      <c r="C820" s="417"/>
      <c r="D820" s="113"/>
      <c r="E820" s="113"/>
      <c r="F820" s="114"/>
      <c r="G820" s="389" t="s">
        <v>170</v>
      </c>
      <c r="H820" s="340"/>
      <c r="I820" s="401"/>
      <c r="J820" s="400"/>
      <c r="K820" s="414"/>
      <c r="L820" s="414"/>
      <c r="M820" s="414"/>
      <c r="N820" s="381"/>
      <c r="O820" s="381"/>
    </row>
    <row r="821" spans="1:15" s="109" customFormat="1" ht="60" customHeight="1">
      <c r="A821" s="377">
        <f>ORÇAMENTO!A91</f>
        <v>92762</v>
      </c>
      <c r="B821" s="377" t="str">
        <f>ORÇAMENTO!C91</f>
        <v>5.03.04</v>
      </c>
      <c r="C821" s="1003" t="str">
        <f>ORÇAMENTO!D91</f>
        <v>ARMAÇÃO DE PILAR OU VIGA DE ESTRUTURA CONVENCIONAL DE CONCRETO ARMADO UTILIZANDO AÇO CA-50 DE 10,0 MM - MONTAGEM. AF_06/2022</v>
      </c>
      <c r="D821" s="1003"/>
      <c r="E821" s="1003"/>
      <c r="F821" s="1003"/>
      <c r="G821" s="377" t="str">
        <f>ORÇAMENTO!E91</f>
        <v>KG</v>
      </c>
      <c r="H821" s="380">
        <f>SUM(H822:H828)</f>
        <v>2058</v>
      </c>
      <c r="I821" s="387"/>
      <c r="J821" s="380"/>
      <c r="K821" s="388"/>
      <c r="L821" s="380"/>
      <c r="M821" s="379"/>
      <c r="N821" s="380"/>
      <c r="O821" s="380"/>
    </row>
    <row r="822" spans="1:15" s="109" customFormat="1" ht="13.5" customHeight="1">
      <c r="A822" s="342"/>
      <c r="B822" s="342"/>
      <c r="C822" s="1062" t="s">
        <v>1601</v>
      </c>
      <c r="D822" s="1062"/>
      <c r="E822" s="1062"/>
      <c r="F822" s="1062"/>
      <c r="G822" s="389" t="s">
        <v>170</v>
      </c>
      <c r="H822" s="340">
        <v>678</v>
      </c>
      <c r="I822" s="401"/>
      <c r="J822" s="400"/>
      <c r="K822" s="414"/>
      <c r="L822" s="414"/>
      <c r="M822" s="414"/>
      <c r="N822" s="381"/>
      <c r="O822" s="381"/>
    </row>
    <row r="823" spans="1:15" s="109" customFormat="1" ht="17.25" customHeight="1">
      <c r="A823" s="342"/>
      <c r="B823" s="342"/>
      <c r="C823" s="1062" t="s">
        <v>1802</v>
      </c>
      <c r="D823" s="1062"/>
      <c r="E823" s="1062"/>
      <c r="F823" s="1062"/>
      <c r="G823" s="389" t="s">
        <v>170</v>
      </c>
      <c r="H823" s="340">
        <f>277+259</f>
        <v>536</v>
      </c>
      <c r="I823" s="401"/>
      <c r="J823" s="400"/>
      <c r="K823" s="414"/>
      <c r="L823" s="414"/>
      <c r="M823" s="414"/>
      <c r="N823" s="381"/>
      <c r="O823" s="381"/>
    </row>
    <row r="824" spans="1:15" s="109" customFormat="1" ht="14.25" customHeight="1">
      <c r="A824" s="342"/>
      <c r="B824" s="342"/>
      <c r="C824" s="1062" t="s">
        <v>1803</v>
      </c>
      <c r="D824" s="1062"/>
      <c r="E824" s="1062"/>
      <c r="F824" s="1062"/>
      <c r="G824" s="389" t="s">
        <v>170</v>
      </c>
      <c r="H824" s="340">
        <f>298+222+152</f>
        <v>672</v>
      </c>
      <c r="I824" s="401"/>
      <c r="J824" s="400"/>
      <c r="K824" s="414"/>
      <c r="L824" s="414"/>
      <c r="M824" s="414"/>
      <c r="N824" s="381"/>
      <c r="O824" s="381"/>
    </row>
    <row r="825" spans="1:15" s="109" customFormat="1" ht="24.75" customHeight="1">
      <c r="A825" s="342"/>
      <c r="B825" s="342"/>
      <c r="C825" s="1015" t="s">
        <v>1804</v>
      </c>
      <c r="D825" s="1015"/>
      <c r="E825" s="1015"/>
      <c r="F825" s="1015"/>
      <c r="G825" s="389" t="s">
        <v>170</v>
      </c>
      <c r="H825" s="340">
        <v>112</v>
      </c>
      <c r="I825" s="401"/>
      <c r="J825" s="400"/>
      <c r="K825" s="414"/>
      <c r="L825" s="414"/>
      <c r="M825" s="414"/>
      <c r="N825" s="381"/>
      <c r="O825" s="381"/>
    </row>
    <row r="826" spans="1:15" s="109" customFormat="1" ht="12.75" customHeight="1">
      <c r="A826" s="342"/>
      <c r="B826" s="342"/>
      <c r="C826" s="1015" t="s">
        <v>1587</v>
      </c>
      <c r="D826" s="1015"/>
      <c r="E826" s="1015"/>
      <c r="F826" s="1015"/>
      <c r="G826" s="389" t="s">
        <v>170</v>
      </c>
      <c r="H826" s="340">
        <v>60</v>
      </c>
      <c r="I826" s="401"/>
      <c r="J826" s="400"/>
      <c r="K826" s="414"/>
      <c r="L826" s="414"/>
      <c r="M826" s="414"/>
      <c r="N826" s="381"/>
      <c r="O826" s="381"/>
    </row>
    <row r="827" spans="1:15" s="109" customFormat="1" ht="12.75" customHeight="1">
      <c r="A827" s="342"/>
      <c r="B827" s="342"/>
      <c r="C827" s="1002"/>
      <c r="D827" s="1002"/>
      <c r="E827" s="1002"/>
      <c r="F827" s="1002"/>
      <c r="G827" s="389" t="s">
        <v>170</v>
      </c>
      <c r="H827" s="340"/>
      <c r="I827" s="401"/>
      <c r="J827" s="400"/>
      <c r="K827" s="414"/>
      <c r="L827" s="414"/>
      <c r="M827" s="414"/>
      <c r="N827" s="381"/>
      <c r="O827" s="381"/>
    </row>
    <row r="828" spans="1:15" s="109" customFormat="1">
      <c r="A828" s="342"/>
      <c r="B828" s="342"/>
      <c r="C828" s="417"/>
      <c r="D828" s="113"/>
      <c r="E828" s="113"/>
      <c r="F828" s="114"/>
      <c r="G828" s="389" t="s">
        <v>170</v>
      </c>
      <c r="H828" s="340"/>
      <c r="I828" s="401"/>
      <c r="J828" s="400"/>
      <c r="K828" s="414"/>
      <c r="L828" s="414"/>
      <c r="M828" s="414"/>
      <c r="N828" s="381"/>
      <c r="O828" s="381"/>
    </row>
    <row r="829" spans="1:15" s="109" customFormat="1" ht="48" customHeight="1">
      <c r="A829" s="377">
        <f>ORÇAMENTO!A92</f>
        <v>92763</v>
      </c>
      <c r="B829" s="377" t="str">
        <f>ORÇAMENTO!C92</f>
        <v>5.03.05</v>
      </c>
      <c r="C829" s="1003" t="str">
        <f>ORÇAMENTO!D92</f>
        <v>ARMAÇÃO DE PILAR OU VIGA DE ESTRUTURA CONVENCIONAL DE CONCRETO ARMADO UTILIZANDO AÇO CA-50 DE 12,5 MM - MONTAGEM. AF_06/2022</v>
      </c>
      <c r="D829" s="1003"/>
      <c r="E829" s="1003"/>
      <c r="F829" s="1003"/>
      <c r="G829" s="377" t="str">
        <f>ORÇAMENTO!E92</f>
        <v>KG</v>
      </c>
      <c r="H829" s="380">
        <f>SUM(H830:H833)</f>
        <v>1164</v>
      </c>
      <c r="I829" s="387"/>
      <c r="J829" s="380"/>
      <c r="K829" s="388"/>
      <c r="L829" s="380"/>
      <c r="M829" s="379"/>
      <c r="N829" s="380"/>
      <c r="O829" s="380"/>
    </row>
    <row r="830" spans="1:15" s="109" customFormat="1">
      <c r="A830" s="342"/>
      <c r="B830" s="342"/>
      <c r="C830" s="1062" t="s">
        <v>1601</v>
      </c>
      <c r="D830" s="1062"/>
      <c r="E830" s="1062"/>
      <c r="F830" s="1062"/>
      <c r="G830" s="389" t="s">
        <v>170</v>
      </c>
      <c r="H830" s="340">
        <v>232</v>
      </c>
      <c r="I830" s="401"/>
      <c r="J830" s="400"/>
      <c r="K830" s="414"/>
      <c r="L830" s="414"/>
      <c r="M830" s="414"/>
      <c r="N830" s="381"/>
      <c r="O830" s="381"/>
    </row>
    <row r="831" spans="1:15" s="109" customFormat="1">
      <c r="A831" s="342"/>
      <c r="B831" s="342"/>
      <c r="C831" s="1062" t="s">
        <v>1802</v>
      </c>
      <c r="D831" s="1062"/>
      <c r="E831" s="1062"/>
      <c r="F831" s="1062"/>
      <c r="G831" s="389" t="s">
        <v>170</v>
      </c>
      <c r="H831" s="340">
        <f>208+139</f>
        <v>347</v>
      </c>
      <c r="I831" s="401"/>
      <c r="J831" s="400"/>
      <c r="K831" s="414"/>
      <c r="L831" s="414"/>
      <c r="M831" s="414"/>
      <c r="N831" s="381"/>
      <c r="O831" s="381"/>
    </row>
    <row r="832" spans="1:15" s="109" customFormat="1">
      <c r="A832" s="342"/>
      <c r="B832" s="342"/>
      <c r="C832" s="1062" t="s">
        <v>1803</v>
      </c>
      <c r="D832" s="1062"/>
      <c r="E832" s="1062"/>
      <c r="F832" s="1062"/>
      <c r="G832" s="389" t="s">
        <v>170</v>
      </c>
      <c r="H832" s="340">
        <f>60+414+111</f>
        <v>585</v>
      </c>
      <c r="I832" s="401"/>
      <c r="J832" s="400"/>
      <c r="K832" s="414"/>
      <c r="L832" s="414"/>
      <c r="M832" s="414"/>
      <c r="N832" s="381"/>
      <c r="O832" s="381"/>
    </row>
    <row r="833" spans="1:15" s="109" customFormat="1">
      <c r="A833" s="342"/>
      <c r="B833" s="342"/>
      <c r="C833" s="417"/>
      <c r="D833" s="113"/>
      <c r="E833" s="113"/>
      <c r="F833" s="114"/>
      <c r="G833" s="389" t="s">
        <v>170</v>
      </c>
      <c r="H833" s="340"/>
      <c r="I833" s="401"/>
      <c r="J833" s="400"/>
      <c r="K833" s="414"/>
      <c r="L833" s="414"/>
      <c r="M833" s="414"/>
      <c r="N833" s="381"/>
      <c r="O833" s="381"/>
    </row>
    <row r="834" spans="1:15" s="109" customFormat="1" ht="47.25" customHeight="1">
      <c r="A834" s="377">
        <f>ORÇAMENTO!A93</f>
        <v>92764</v>
      </c>
      <c r="B834" s="377" t="str">
        <f>ORÇAMENTO!C93</f>
        <v>5.03.06</v>
      </c>
      <c r="C834" s="1003" t="str">
        <f>ORÇAMENTO!D93</f>
        <v>ARMAÇÃO DE PILAR OU VIGA DE ESTRUTURA CONVENCIONAL DE CONCRETO ARMADO UTILIZANDO AÇO CA-50 DE 16,0 MM - MONTAGEM. AF_06/2022</v>
      </c>
      <c r="D834" s="1003"/>
      <c r="E834" s="1003"/>
      <c r="F834" s="1003"/>
      <c r="G834" s="377" t="str">
        <f>ORÇAMENTO!E93</f>
        <v>KG</v>
      </c>
      <c r="H834" s="380">
        <f>SUM(H835:H838)</f>
        <v>1394</v>
      </c>
      <c r="I834" s="387"/>
      <c r="J834" s="380"/>
      <c r="K834" s="388"/>
      <c r="L834" s="380"/>
      <c r="M834" s="379"/>
      <c r="N834" s="380"/>
      <c r="O834" s="380"/>
    </row>
    <row r="835" spans="1:15" s="109" customFormat="1" ht="14.25" customHeight="1">
      <c r="A835" s="342"/>
      <c r="B835" s="342"/>
      <c r="C835" s="1062" t="s">
        <v>1601</v>
      </c>
      <c r="D835" s="1062"/>
      <c r="E835" s="1062"/>
      <c r="F835" s="1062"/>
      <c r="G835" s="389" t="s">
        <v>170</v>
      </c>
      <c r="H835" s="340">
        <v>343</v>
      </c>
      <c r="I835" s="401"/>
      <c r="J835" s="400"/>
      <c r="K835" s="414"/>
      <c r="L835" s="414"/>
      <c r="M835" s="414"/>
      <c r="N835" s="381"/>
      <c r="O835" s="381"/>
    </row>
    <row r="836" spans="1:15" s="109" customFormat="1" ht="17.25" customHeight="1">
      <c r="A836" s="342"/>
      <c r="B836" s="342"/>
      <c r="C836" s="1062" t="s">
        <v>1802</v>
      </c>
      <c r="D836" s="1062"/>
      <c r="E836" s="1062"/>
      <c r="F836" s="1062"/>
      <c r="G836" s="389" t="s">
        <v>170</v>
      </c>
      <c r="H836" s="340">
        <f>20+243</f>
        <v>263</v>
      </c>
      <c r="I836" s="401"/>
      <c r="J836" s="400"/>
      <c r="K836" s="414"/>
      <c r="L836" s="414"/>
      <c r="M836" s="414"/>
      <c r="N836" s="381"/>
      <c r="O836" s="381"/>
    </row>
    <row r="837" spans="1:15" s="109" customFormat="1" ht="17.25" customHeight="1">
      <c r="A837" s="342"/>
      <c r="B837" s="342"/>
      <c r="C837" s="1062" t="s">
        <v>1803</v>
      </c>
      <c r="D837" s="1062"/>
      <c r="E837" s="1062"/>
      <c r="F837" s="1062"/>
      <c r="G837" s="389" t="s">
        <v>170</v>
      </c>
      <c r="H837" s="340">
        <f>216+294+185</f>
        <v>695</v>
      </c>
      <c r="I837" s="401"/>
      <c r="J837" s="400"/>
      <c r="K837" s="414"/>
      <c r="L837" s="414"/>
      <c r="M837" s="414"/>
      <c r="N837" s="381"/>
      <c r="O837" s="381"/>
    </row>
    <row r="838" spans="1:15" s="109" customFormat="1" ht="17.25" customHeight="1">
      <c r="A838" s="342"/>
      <c r="B838" s="342"/>
      <c r="C838" s="1015" t="s">
        <v>1587</v>
      </c>
      <c r="D838" s="1015"/>
      <c r="E838" s="1015"/>
      <c r="F838" s="1015"/>
      <c r="G838" s="389" t="s">
        <v>170</v>
      </c>
      <c r="H838" s="340">
        <v>93</v>
      </c>
      <c r="I838" s="401"/>
      <c r="J838" s="400"/>
      <c r="K838" s="414"/>
      <c r="L838" s="414"/>
      <c r="M838" s="414"/>
      <c r="N838" s="381"/>
      <c r="O838" s="381"/>
    </row>
    <row r="839" spans="1:15" s="109" customFormat="1" ht="58.5" customHeight="1">
      <c r="A839" s="377">
        <f>ORÇAMENTO!A94</f>
        <v>92765</v>
      </c>
      <c r="B839" s="377" t="str">
        <f>ORÇAMENTO!C94</f>
        <v>5.03.07</v>
      </c>
      <c r="C839" s="1003" t="str">
        <f>ORÇAMENTO!D94</f>
        <v>ARMAÇÃO DE PILAR OU VIGA DE UMA ESTRUTURA CONVENCIONAL DE CONCRETO ARMADO EM UMA EDIFICAÇÃO TÉRREA OU SOBRADO UTILIZANDO AÇO CA-50 DE 20.0 MM - MONTAGEM. AF_12/2015</v>
      </c>
      <c r="D839" s="1003"/>
      <c r="E839" s="1003"/>
      <c r="F839" s="1003"/>
      <c r="G839" s="377" t="str">
        <f>ORÇAMENTO!E94</f>
        <v>KG</v>
      </c>
      <c r="H839" s="380">
        <f>H840</f>
        <v>71</v>
      </c>
      <c r="I839" s="387"/>
      <c r="J839" s="380"/>
      <c r="K839" s="388"/>
      <c r="L839" s="380"/>
      <c r="M839" s="379"/>
      <c r="N839" s="380"/>
      <c r="O839" s="380"/>
    </row>
    <row r="840" spans="1:15" s="109" customFormat="1" ht="17.25" customHeight="1">
      <c r="A840" s="342"/>
      <c r="B840" s="342"/>
      <c r="C840" s="1062" t="s">
        <v>1802</v>
      </c>
      <c r="D840" s="1062"/>
      <c r="E840" s="1062"/>
      <c r="F840" s="1062"/>
      <c r="G840" s="389" t="s">
        <v>170</v>
      </c>
      <c r="H840" s="340">
        <f>71</f>
        <v>71</v>
      </c>
      <c r="I840" s="401"/>
      <c r="J840" s="400"/>
      <c r="K840" s="414"/>
      <c r="L840" s="414"/>
      <c r="M840" s="414"/>
      <c r="N840" s="381"/>
      <c r="O840" s="381"/>
    </row>
    <row r="841" spans="1:15" s="109" customFormat="1" ht="58.5" customHeight="1">
      <c r="A841" s="377">
        <f>ORÇAMENTO!A95</f>
        <v>92766</v>
      </c>
      <c r="B841" s="377" t="str">
        <f>ORÇAMENTO!C95</f>
        <v>5.03.08</v>
      </c>
      <c r="C841" s="1003" t="str">
        <f>ORÇAMENTO!D95</f>
        <v>ARMAÇÃO DE PILAR OU VIGA DE ESTRUTURA CONVENCIONAL DE CONCRETO ARMADO UTILIZANDO AÇO CA-50 DE 25,0 MM - MONTAGEM. AF_06/2022</v>
      </c>
      <c r="D841" s="1003"/>
      <c r="E841" s="1003"/>
      <c r="F841" s="1003"/>
      <c r="G841" s="377" t="str">
        <f>ORÇAMENTO!E95</f>
        <v>KG</v>
      </c>
      <c r="H841" s="380">
        <f>SUM(H842:H843)</f>
        <v>35</v>
      </c>
      <c r="I841" s="387"/>
      <c r="J841" s="380"/>
      <c r="K841" s="388"/>
      <c r="L841" s="380"/>
      <c r="M841" s="379"/>
      <c r="N841" s="380"/>
      <c r="O841" s="380"/>
    </row>
    <row r="842" spans="1:15" s="109" customFormat="1" ht="12.75" customHeight="1">
      <c r="A842" s="342"/>
      <c r="B842" s="342"/>
      <c r="C842" s="1015" t="s">
        <v>1587</v>
      </c>
      <c r="D842" s="1015"/>
      <c r="E842" s="1015"/>
      <c r="F842" s="1015"/>
      <c r="G842" s="389" t="s">
        <v>170</v>
      </c>
      <c r="H842" s="340">
        <v>35</v>
      </c>
      <c r="I842" s="401"/>
      <c r="J842" s="400"/>
      <c r="K842" s="414"/>
      <c r="L842" s="414"/>
      <c r="M842" s="414"/>
      <c r="N842" s="381"/>
      <c r="O842" s="381"/>
    </row>
    <row r="843" spans="1:15" s="109" customFormat="1">
      <c r="A843" s="342"/>
      <c r="B843" s="342"/>
      <c r="C843" s="417"/>
      <c r="D843" s="113"/>
      <c r="E843" s="113"/>
      <c r="F843" s="114"/>
      <c r="G843" s="389" t="s">
        <v>170</v>
      </c>
      <c r="H843" s="340"/>
      <c r="I843" s="401"/>
      <c r="J843" s="400"/>
      <c r="K843" s="414"/>
      <c r="L843" s="414"/>
      <c r="M843" s="414"/>
      <c r="N843" s="381"/>
      <c r="O843" s="381"/>
    </row>
    <row r="844" spans="1:15" s="109" customFormat="1" ht="36.75" customHeight="1">
      <c r="A844" s="377">
        <f>ORÇAMENTO!A96</f>
        <v>92767</v>
      </c>
      <c r="B844" s="377" t="str">
        <f>ORÇAMENTO!C96</f>
        <v>5.03.09</v>
      </c>
      <c r="C844" s="1003" t="str">
        <f>ORÇAMENTO!D96</f>
        <v>ARMAÇÃO DE LAJE DE ESTRUTURA CONVENCIONAL DE CONCRETO ARMADO UTILIZANDO AÇO CA-60 DE 4,2 MM - MONTAGEM. AF_06/2022</v>
      </c>
      <c r="D844" s="1003"/>
      <c r="E844" s="1003"/>
      <c r="F844" s="1003"/>
      <c r="G844" s="377" t="str">
        <f>ORÇAMENTO!E96</f>
        <v>KG</v>
      </c>
      <c r="H844" s="380">
        <f>SUM(H845:H847)</f>
        <v>1239</v>
      </c>
      <c r="I844" s="387"/>
      <c r="J844" s="380"/>
      <c r="K844" s="388"/>
      <c r="L844" s="380"/>
      <c r="M844" s="379"/>
      <c r="N844" s="380"/>
      <c r="O844" s="380"/>
    </row>
    <row r="845" spans="1:15" s="109" customFormat="1">
      <c r="A845" s="376"/>
      <c r="B845" s="376"/>
      <c r="C845" s="1062" t="s">
        <v>1805</v>
      </c>
      <c r="D845" s="1062"/>
      <c r="E845" s="1062"/>
      <c r="F845" s="1062"/>
      <c r="G845" s="337" t="s">
        <v>170</v>
      </c>
      <c r="H845" s="340">
        <v>243</v>
      </c>
      <c r="I845" s="418"/>
      <c r="J845" s="340"/>
      <c r="K845" s="419"/>
      <c r="L845" s="340"/>
      <c r="M845" s="420"/>
      <c r="N845" s="340"/>
      <c r="O845" s="421"/>
    </row>
    <row r="846" spans="1:15" s="109" customFormat="1">
      <c r="A846" s="376"/>
      <c r="B846" s="376"/>
      <c r="C846" s="1015" t="s">
        <v>1806</v>
      </c>
      <c r="D846" s="1015"/>
      <c r="E846" s="1015"/>
      <c r="F846" s="1015"/>
      <c r="G846" s="337" t="s">
        <v>170</v>
      </c>
      <c r="H846" s="340">
        <v>753</v>
      </c>
      <c r="I846" s="418"/>
      <c r="J846" s="340"/>
      <c r="K846" s="419"/>
      <c r="L846" s="340"/>
      <c r="M846" s="420"/>
      <c r="N846" s="340"/>
      <c r="O846" s="421"/>
    </row>
    <row r="847" spans="1:15" s="109" customFormat="1">
      <c r="A847" s="376"/>
      <c r="B847" s="376"/>
      <c r="C847" s="1015" t="s">
        <v>1807</v>
      </c>
      <c r="D847" s="1015"/>
      <c r="E847" s="1015"/>
      <c r="F847" s="1015"/>
      <c r="G847" s="337" t="s">
        <v>170</v>
      </c>
      <c r="H847" s="340">
        <v>243</v>
      </c>
      <c r="I847" s="418"/>
      <c r="J847" s="340"/>
      <c r="K847" s="419"/>
      <c r="L847" s="340"/>
      <c r="M847" s="420"/>
      <c r="N847" s="340"/>
      <c r="O847" s="421"/>
    </row>
    <row r="848" spans="1:15" s="109" customFormat="1" ht="38.25" customHeight="1">
      <c r="A848" s="344">
        <f>ORÇAMENTO!A97</f>
        <v>92916</v>
      </c>
      <c r="B848" s="344" t="str">
        <f>ORÇAMENTO!C97</f>
        <v>5.03.10</v>
      </c>
      <c r="C848" s="1014" t="str">
        <f>ORÇAMENTO!D97</f>
        <v>ARMAÇÃO DE ESTRUTURAS DIVERSAS DE CONCRETO ARMADO, EXCETO VIGAS, PILARES, LAJES E FUNDAÇÕES, UTILIZANDO AÇO CA-50 DE 6,3 MM - MONTAGEM. AF_06/2022</v>
      </c>
      <c r="D848" s="1014"/>
      <c r="E848" s="1014"/>
      <c r="F848" s="1014"/>
      <c r="G848" s="344" t="str">
        <f>ORÇAMENTO!E97</f>
        <v>KG</v>
      </c>
      <c r="H848" s="429">
        <f>SUM(H849:H849)</f>
        <v>536.91275167785238</v>
      </c>
      <c r="I848" s="707"/>
      <c r="J848" s="429"/>
      <c r="K848" s="708"/>
      <c r="L848" s="429"/>
      <c r="M848" s="345"/>
      <c r="N848" s="429"/>
      <c r="O848" s="429"/>
    </row>
    <row r="849" spans="1:15" s="109" customFormat="1">
      <c r="A849" s="376"/>
      <c r="B849" s="376"/>
      <c r="C849" s="1015" t="s">
        <v>1807</v>
      </c>
      <c r="D849" s="1015"/>
      <c r="E849" s="1015"/>
      <c r="F849" s="1015"/>
      <c r="G849" s="337" t="s">
        <v>170</v>
      </c>
      <c r="H849" s="340">
        <f>N849/M849</f>
        <v>536.91275167785238</v>
      </c>
      <c r="I849" s="418"/>
      <c r="J849" s="340"/>
      <c r="K849" s="419"/>
      <c r="L849" s="340">
        <f>N855</f>
        <v>861.50809999999979</v>
      </c>
      <c r="M849" s="420">
        <v>1.49</v>
      </c>
      <c r="N849" s="340">
        <f>800</f>
        <v>800</v>
      </c>
      <c r="O849" s="421"/>
    </row>
    <row r="850" spans="1:15" s="109" customFormat="1" ht="37.5" customHeight="1">
      <c r="A850" s="344">
        <f>ORÇAMENTO!A98</f>
        <v>3637</v>
      </c>
      <c r="B850" s="344" t="str">
        <f>ORÇAMENTO!C98</f>
        <v>5.03.11</v>
      </c>
      <c r="C850" s="1014" t="str">
        <f>ORÇAMENTO!D98</f>
        <v>"	FORNECIMENTO E INSTALAÇÃO DE TELA AÇO SOLDADA NERVURADA CA-60, Q-92, MALHA 15X15CM, FERRO 4.2MM (1.48 KG/M2), PAINEL 2,45X6,0M, TELCON OU SIMILAR"</v>
      </c>
      <c r="D850" s="1014"/>
      <c r="E850" s="1014"/>
      <c r="F850" s="1014"/>
      <c r="G850" s="344" t="str">
        <f>ORÇAMENTO!E98</f>
        <v>M²</v>
      </c>
      <c r="H850" s="429">
        <f>SUM(H851:H851)</f>
        <v>186</v>
      </c>
      <c r="I850" s="707"/>
      <c r="J850" s="429"/>
      <c r="K850" s="708"/>
      <c r="L850" s="429"/>
      <c r="M850" s="345"/>
      <c r="N850" s="429"/>
      <c r="O850" s="429"/>
    </row>
    <row r="851" spans="1:15" s="109" customFormat="1">
      <c r="A851" s="376"/>
      <c r="B851" s="376"/>
      <c r="C851" s="1015" t="s">
        <v>1807</v>
      </c>
      <c r="D851" s="1015"/>
      <c r="E851" s="1015"/>
      <c r="F851" s="1015"/>
      <c r="G851" s="337" t="s">
        <v>170</v>
      </c>
      <c r="H851" s="340">
        <v>186</v>
      </c>
      <c r="I851" s="418"/>
      <c r="J851" s="340"/>
      <c r="K851" s="419"/>
      <c r="L851" s="340"/>
      <c r="M851" s="420"/>
      <c r="N851" s="340"/>
      <c r="O851" s="421"/>
    </row>
    <row r="852" spans="1:15" s="109" customFormat="1">
      <c r="A852" s="377" t="str">
        <f>ORÇAMENTO!A99</f>
        <v>MERC02/04</v>
      </c>
      <c r="B852" s="377" t="str">
        <f>ORÇAMENTO!C99</f>
        <v>5.03.12</v>
      </c>
      <c r="C852" s="1003" t="str">
        <f>ORÇAMENTO!D99</f>
        <v>ESTRUTURA DE CONCRETO PROTENDIDO</v>
      </c>
      <c r="D852" s="1003"/>
      <c r="E852" s="1003"/>
      <c r="F852" s="1003"/>
      <c r="G852" s="377" t="str">
        <f>ORÇAMENTO!E99</f>
        <v>VB</v>
      </c>
      <c r="H852" s="380">
        <f>SUM(H853)</f>
        <v>1</v>
      </c>
      <c r="I852" s="387"/>
      <c r="J852" s="380"/>
      <c r="K852" s="388"/>
      <c r="L852" s="380"/>
      <c r="M852" s="379"/>
      <c r="N852" s="380"/>
      <c r="O852" s="380"/>
    </row>
    <row r="853" spans="1:15" s="109" customFormat="1">
      <c r="A853" s="376"/>
      <c r="B853" s="376"/>
      <c r="C853" s="1062" t="s">
        <v>1808</v>
      </c>
      <c r="D853" s="1062"/>
      <c r="E853" s="1062"/>
      <c r="F853" s="1062"/>
      <c r="G853" s="337" t="s">
        <v>218</v>
      </c>
      <c r="H853" s="340">
        <v>1</v>
      </c>
      <c r="I853" s="418"/>
      <c r="J853" s="340"/>
      <c r="K853" s="419"/>
      <c r="L853" s="340"/>
      <c r="M853" s="420"/>
      <c r="N853" s="340"/>
      <c r="O853" s="421"/>
    </row>
    <row r="854" spans="1:15" s="109" customFormat="1">
      <c r="A854" s="376"/>
      <c r="B854" s="376" t="str">
        <f>ORÇAMENTO!C100</f>
        <v>5.04</v>
      </c>
      <c r="C854" s="1008" t="str">
        <f>ORÇAMENTO!D100</f>
        <v>COMPLEMENTOS</v>
      </c>
      <c r="D854" s="1008"/>
      <c r="E854" s="1008"/>
      <c r="F854" s="1008"/>
      <c r="G854" s="1039"/>
      <c r="H854" s="1039"/>
      <c r="I854" s="1039"/>
      <c r="J854" s="1039"/>
      <c r="K854" s="1039"/>
      <c r="L854" s="1039"/>
      <c r="M854" s="1039"/>
      <c r="N854" s="1039"/>
      <c r="O854" s="1039"/>
    </row>
    <row r="855" spans="1:15" s="109" customFormat="1" ht="45.75" customHeight="1">
      <c r="A855" s="377">
        <f>ORÇAMENTO!A101</f>
        <v>7393</v>
      </c>
      <c r="B855" s="377" t="str">
        <f>ORÇAMENTO!C101</f>
        <v>5.04.01</v>
      </c>
      <c r="C855" s="1003" t="str">
        <f>ORÇAMENTO!D101</f>
        <v>LAJE PRÉ-FABRICADA TRELIÇADA PARA PISO OU COBERTURA, INTEREIXO 38CM, H=12CM, EL. ENCHIMENTO EM EPS H=8CM, INCLUSIVE ESCORAMENTO EM MADEIRA E CAPEAMENTO 4CM.</v>
      </c>
      <c r="D855" s="1003"/>
      <c r="E855" s="1003"/>
      <c r="F855" s="1003"/>
      <c r="G855" s="377" t="str">
        <f>ORÇAMENTO!E101</f>
        <v>M²</v>
      </c>
      <c r="H855" s="380"/>
      <c r="I855" s="387"/>
      <c r="J855" s="380"/>
      <c r="K855" s="388"/>
      <c r="L855" s="380"/>
      <c r="M855" s="379"/>
      <c r="N855" s="380">
        <f>SUM(N856:N922)</f>
        <v>861.50809999999979</v>
      </c>
      <c r="O855" s="380"/>
    </row>
    <row r="856" spans="1:15" s="109" customFormat="1" ht="14.25" customHeight="1">
      <c r="A856" s="376"/>
      <c r="B856" s="376"/>
      <c r="C856" s="1093" t="s">
        <v>1731</v>
      </c>
      <c r="D856" s="1093"/>
      <c r="E856" s="1093"/>
      <c r="F856" s="1093"/>
      <c r="G856" s="342"/>
      <c r="H856" s="422"/>
      <c r="I856" s="423"/>
      <c r="J856" s="423"/>
      <c r="K856" s="410"/>
      <c r="L856" s="400"/>
      <c r="M856" s="424"/>
      <c r="N856" s="400"/>
      <c r="O856" s="421"/>
    </row>
    <row r="857" spans="1:15" s="109" customFormat="1" ht="15" customHeight="1">
      <c r="A857" s="376"/>
      <c r="B857" s="376"/>
      <c r="C857" s="1031" t="s">
        <v>1732</v>
      </c>
      <c r="D857" s="1031"/>
      <c r="E857" s="1031"/>
      <c r="F857" s="1031"/>
      <c r="G857" s="342" t="s">
        <v>61</v>
      </c>
      <c r="H857" s="422"/>
      <c r="I857" s="423">
        <v>1.91</v>
      </c>
      <c r="J857" s="423">
        <v>5.51</v>
      </c>
      <c r="K857" s="410">
        <v>0.12</v>
      </c>
      <c r="L857" s="400"/>
      <c r="M857" s="424"/>
      <c r="N857" s="400">
        <f>I857*J857</f>
        <v>10.524099999999999</v>
      </c>
      <c r="O857" s="421"/>
    </row>
    <row r="858" spans="1:15" s="109" customFormat="1" ht="15" customHeight="1">
      <c r="A858" s="342"/>
      <c r="B858" s="342"/>
      <c r="C858" s="1031" t="s">
        <v>1733</v>
      </c>
      <c r="D858" s="1031"/>
      <c r="E858" s="1031"/>
      <c r="F858" s="1031"/>
      <c r="G858" s="342" t="s">
        <v>61</v>
      </c>
      <c r="H858" s="422"/>
      <c r="I858" s="410">
        <v>5.53</v>
      </c>
      <c r="J858" s="410">
        <v>3.5</v>
      </c>
      <c r="K858" s="410">
        <v>0.12</v>
      </c>
      <c r="L858" s="414"/>
      <c r="M858" s="414"/>
      <c r="N858" s="400">
        <f t="shared" ref="N858:N891" si="30">I858*J858</f>
        <v>19.355</v>
      </c>
      <c r="O858" s="381"/>
    </row>
    <row r="859" spans="1:15" s="109" customFormat="1" ht="15" customHeight="1">
      <c r="A859" s="342"/>
      <c r="B859" s="342"/>
      <c r="C859" s="1031" t="s">
        <v>1734</v>
      </c>
      <c r="D859" s="1031"/>
      <c r="E859" s="1031"/>
      <c r="F859" s="1031"/>
      <c r="G859" s="342" t="s">
        <v>61</v>
      </c>
      <c r="H859" s="422"/>
      <c r="I859" s="410">
        <v>4.0599999999999996</v>
      </c>
      <c r="J859" s="410">
        <v>5.81</v>
      </c>
      <c r="K859" s="410">
        <v>0.12</v>
      </c>
      <c r="L859" s="414"/>
      <c r="M859" s="414"/>
      <c r="N859" s="400">
        <f t="shared" si="30"/>
        <v>23.588599999999996</v>
      </c>
      <c r="O859" s="381"/>
    </row>
    <row r="860" spans="1:15" s="109" customFormat="1" ht="15" customHeight="1">
      <c r="A860" s="342"/>
      <c r="B860" s="342"/>
      <c r="C860" s="1031" t="s">
        <v>1735</v>
      </c>
      <c r="D860" s="1031"/>
      <c r="E860" s="1031"/>
      <c r="F860" s="1031"/>
      <c r="G860" s="342" t="s">
        <v>61</v>
      </c>
      <c r="H860" s="422"/>
      <c r="I860" s="410">
        <v>1.51</v>
      </c>
      <c r="J860" s="410">
        <v>1.21</v>
      </c>
      <c r="K860" s="410">
        <v>0.12</v>
      </c>
      <c r="L860" s="414"/>
      <c r="M860" s="414"/>
      <c r="N860" s="400">
        <f t="shared" si="30"/>
        <v>1.8270999999999999</v>
      </c>
      <c r="O860" s="381"/>
    </row>
    <row r="861" spans="1:15" s="109" customFormat="1" ht="15" customHeight="1">
      <c r="A861" s="342"/>
      <c r="B861" s="342"/>
      <c r="C861" s="1031" t="s">
        <v>1736</v>
      </c>
      <c r="D861" s="1031"/>
      <c r="E861" s="1031"/>
      <c r="F861" s="1031"/>
      <c r="G861" s="342" t="s">
        <v>61</v>
      </c>
      <c r="H861" s="422"/>
      <c r="I861" s="410">
        <v>1.71</v>
      </c>
      <c r="J861" s="410">
        <v>1.21</v>
      </c>
      <c r="K861" s="410">
        <v>0.12</v>
      </c>
      <c r="L861" s="414"/>
      <c r="M861" s="414"/>
      <c r="N861" s="400">
        <f t="shared" si="30"/>
        <v>2.0690999999999997</v>
      </c>
      <c r="O861" s="381"/>
    </row>
    <row r="862" spans="1:15" s="109" customFormat="1" ht="15" customHeight="1">
      <c r="A862" s="342"/>
      <c r="B862" s="342"/>
      <c r="C862" s="1031" t="s">
        <v>1737</v>
      </c>
      <c r="D862" s="1031"/>
      <c r="E862" s="1031"/>
      <c r="F862" s="1031"/>
      <c r="G862" s="342" t="s">
        <v>61</v>
      </c>
      <c r="H862" s="422"/>
      <c r="I862" s="410">
        <v>1.71</v>
      </c>
      <c r="J862" s="410">
        <v>1.21</v>
      </c>
      <c r="K862" s="410">
        <v>0.12</v>
      </c>
      <c r="L862" s="414"/>
      <c r="M862" s="414"/>
      <c r="N862" s="400">
        <f t="shared" si="30"/>
        <v>2.0690999999999997</v>
      </c>
      <c r="O862" s="381"/>
    </row>
    <row r="863" spans="1:15" s="109" customFormat="1" ht="15" customHeight="1">
      <c r="A863" s="342"/>
      <c r="B863" s="342"/>
      <c r="C863" s="1031" t="s">
        <v>1738</v>
      </c>
      <c r="D863" s="1031"/>
      <c r="E863" s="1031"/>
      <c r="F863" s="1031"/>
      <c r="G863" s="342" t="s">
        <v>61</v>
      </c>
      <c r="H863" s="422"/>
      <c r="I863" s="410">
        <v>1.51</v>
      </c>
      <c r="J863" s="410">
        <v>1.21</v>
      </c>
      <c r="K863" s="410">
        <v>0.12</v>
      </c>
      <c r="L863" s="414"/>
      <c r="M863" s="414"/>
      <c r="N863" s="400">
        <f t="shared" si="30"/>
        <v>1.8270999999999999</v>
      </c>
      <c r="O863" s="381"/>
    </row>
    <row r="864" spans="1:15" s="109" customFormat="1" ht="15" customHeight="1">
      <c r="A864" s="342"/>
      <c r="B864" s="342"/>
      <c r="C864" s="1031" t="s">
        <v>1739</v>
      </c>
      <c r="D864" s="1031"/>
      <c r="E864" s="1031"/>
      <c r="F864" s="1031"/>
      <c r="G864" s="342" t="s">
        <v>61</v>
      </c>
      <c r="H864" s="422"/>
      <c r="I864" s="410">
        <v>2.5099999999999998</v>
      </c>
      <c r="J864" s="410">
        <v>5.16</v>
      </c>
      <c r="K864" s="410">
        <v>0.12</v>
      </c>
      <c r="L864" s="414"/>
      <c r="M864" s="414"/>
      <c r="N864" s="400">
        <f t="shared" si="30"/>
        <v>12.951599999999999</v>
      </c>
      <c r="O864" s="381"/>
    </row>
    <row r="865" spans="1:15" s="109" customFormat="1" ht="15" customHeight="1">
      <c r="A865" s="342"/>
      <c r="B865" s="342"/>
      <c r="C865" s="1031" t="s">
        <v>1740</v>
      </c>
      <c r="D865" s="1031"/>
      <c r="E865" s="1031"/>
      <c r="F865" s="1031"/>
      <c r="G865" s="342" t="s">
        <v>61</v>
      </c>
      <c r="H865" s="422"/>
      <c r="I865" s="410">
        <v>5.51</v>
      </c>
      <c r="J865" s="410">
        <v>2.8</v>
      </c>
      <c r="K865" s="410">
        <v>0.12</v>
      </c>
      <c r="L865" s="414"/>
      <c r="M865" s="414"/>
      <c r="N865" s="400">
        <f t="shared" si="30"/>
        <v>15.427999999999999</v>
      </c>
      <c r="O865" s="381"/>
    </row>
    <row r="866" spans="1:15" s="109" customFormat="1" ht="15" customHeight="1">
      <c r="A866" s="342"/>
      <c r="B866" s="342"/>
      <c r="C866" s="1031" t="s">
        <v>1741</v>
      </c>
      <c r="D866" s="1031"/>
      <c r="E866" s="1031"/>
      <c r="F866" s="1031"/>
      <c r="G866" s="342" t="s">
        <v>61</v>
      </c>
      <c r="H866" s="422"/>
      <c r="I866" s="410">
        <v>2.5099999999999998</v>
      </c>
      <c r="J866" s="410">
        <v>5.16</v>
      </c>
      <c r="K866" s="410">
        <v>0.12</v>
      </c>
      <c r="L866" s="414"/>
      <c r="M866" s="414"/>
      <c r="N866" s="400">
        <f t="shared" si="30"/>
        <v>12.951599999999999</v>
      </c>
      <c r="O866" s="381"/>
    </row>
    <row r="867" spans="1:15" s="109" customFormat="1" ht="15" customHeight="1">
      <c r="A867" s="342"/>
      <c r="B867" s="342"/>
      <c r="C867" s="1031" t="s">
        <v>1742</v>
      </c>
      <c r="D867" s="1031"/>
      <c r="E867" s="1031"/>
      <c r="F867" s="1031"/>
      <c r="G867" s="342" t="s">
        <v>61</v>
      </c>
      <c r="H867" s="422"/>
      <c r="I867" s="410">
        <v>5.34</v>
      </c>
      <c r="J867" s="410">
        <v>2.17</v>
      </c>
      <c r="K867" s="410">
        <v>0.12</v>
      </c>
      <c r="L867" s="414"/>
      <c r="M867" s="414"/>
      <c r="N867" s="400">
        <f t="shared" si="30"/>
        <v>11.5878</v>
      </c>
      <c r="O867" s="381"/>
    </row>
    <row r="868" spans="1:15" s="109" customFormat="1" ht="15" customHeight="1">
      <c r="A868" s="342"/>
      <c r="B868" s="342"/>
      <c r="C868" s="1031" t="s">
        <v>1743</v>
      </c>
      <c r="D868" s="1031"/>
      <c r="E868" s="1031"/>
      <c r="F868" s="1031"/>
      <c r="G868" s="342" t="s">
        <v>61</v>
      </c>
      <c r="H868" s="422"/>
      <c r="I868" s="410">
        <v>3.36</v>
      </c>
      <c r="J868" s="410">
        <v>3.81</v>
      </c>
      <c r="K868" s="410">
        <v>0.12</v>
      </c>
      <c r="L868" s="414"/>
      <c r="M868" s="414"/>
      <c r="N868" s="400">
        <f t="shared" si="30"/>
        <v>12.801600000000001</v>
      </c>
      <c r="O868" s="381"/>
    </row>
    <row r="869" spans="1:15" s="109" customFormat="1" ht="15" customHeight="1">
      <c r="A869" s="342"/>
      <c r="B869" s="342"/>
      <c r="C869" s="1031" t="s">
        <v>1744</v>
      </c>
      <c r="D869" s="1031"/>
      <c r="E869" s="1031"/>
      <c r="F869" s="1031"/>
      <c r="G869" s="342" t="s">
        <v>61</v>
      </c>
      <c r="H869" s="422"/>
      <c r="I869" s="410">
        <v>4.41</v>
      </c>
      <c r="J869" s="410">
        <v>1.83</v>
      </c>
      <c r="K869" s="410">
        <v>0.12</v>
      </c>
      <c r="L869" s="414"/>
      <c r="M869" s="414"/>
      <c r="N869" s="400">
        <f t="shared" si="30"/>
        <v>8.0703000000000014</v>
      </c>
      <c r="O869" s="381"/>
    </row>
    <row r="870" spans="1:15" s="109" customFormat="1" ht="15" customHeight="1">
      <c r="A870" s="342"/>
      <c r="B870" s="342"/>
      <c r="C870" s="1031" t="s">
        <v>1745</v>
      </c>
      <c r="D870" s="1031"/>
      <c r="E870" s="1031"/>
      <c r="F870" s="1031"/>
      <c r="G870" s="342" t="s">
        <v>61</v>
      </c>
      <c r="H870" s="422"/>
      <c r="I870" s="410">
        <v>3.36</v>
      </c>
      <c r="J870" s="410">
        <v>3.81</v>
      </c>
      <c r="K870" s="410">
        <v>0.12</v>
      </c>
      <c r="L870" s="414"/>
      <c r="M870" s="414"/>
      <c r="N870" s="400">
        <f t="shared" si="30"/>
        <v>12.801600000000001</v>
      </c>
      <c r="O870" s="381"/>
    </row>
    <row r="871" spans="1:15" s="109" customFormat="1" ht="15" customHeight="1">
      <c r="A871" s="342"/>
      <c r="B871" s="342"/>
      <c r="C871" s="1031" t="s">
        <v>1746</v>
      </c>
      <c r="D871" s="1031"/>
      <c r="E871" s="1031"/>
      <c r="F871" s="1031"/>
      <c r="G871" s="342" t="s">
        <v>61</v>
      </c>
      <c r="H871" s="422"/>
      <c r="I871" s="410">
        <v>2.66</v>
      </c>
      <c r="J871" s="410">
        <v>3.27</v>
      </c>
      <c r="K871" s="410">
        <v>0.12</v>
      </c>
      <c r="L871" s="414"/>
      <c r="M871" s="414"/>
      <c r="N871" s="400">
        <f t="shared" si="30"/>
        <v>8.6981999999999999</v>
      </c>
      <c r="O871" s="381"/>
    </row>
    <row r="872" spans="1:15" s="109" customFormat="1" ht="15" customHeight="1">
      <c r="A872" s="342"/>
      <c r="B872" s="342"/>
      <c r="C872" s="1031" t="s">
        <v>1747</v>
      </c>
      <c r="D872" s="1031"/>
      <c r="E872" s="1031"/>
      <c r="F872" s="1031"/>
      <c r="G872" s="342" t="s">
        <v>61</v>
      </c>
      <c r="H872" s="422"/>
      <c r="I872" s="410">
        <v>4.37</v>
      </c>
      <c r="J872" s="410">
        <v>9.64</v>
      </c>
      <c r="K872" s="410">
        <v>0.12</v>
      </c>
      <c r="L872" s="414"/>
      <c r="M872" s="414"/>
      <c r="N872" s="400">
        <f t="shared" si="30"/>
        <v>42.126800000000003</v>
      </c>
      <c r="O872" s="381"/>
    </row>
    <row r="873" spans="1:15" s="109" customFormat="1" ht="15" customHeight="1">
      <c r="A873" s="342"/>
      <c r="B873" s="342"/>
      <c r="C873" s="1031" t="s">
        <v>1748</v>
      </c>
      <c r="D873" s="1031"/>
      <c r="E873" s="1031"/>
      <c r="F873" s="1031"/>
      <c r="G873" s="342" t="s">
        <v>61</v>
      </c>
      <c r="H873" s="422"/>
      <c r="I873" s="410">
        <v>2.2599999999999998</v>
      </c>
      <c r="J873" s="410">
        <v>4.41</v>
      </c>
      <c r="K873" s="410">
        <v>0.12</v>
      </c>
      <c r="L873" s="414"/>
      <c r="M873" s="414"/>
      <c r="N873" s="400">
        <f t="shared" si="30"/>
        <v>9.9665999999999997</v>
      </c>
      <c r="O873" s="381"/>
    </row>
    <row r="874" spans="1:15" s="109" customFormat="1" ht="15" customHeight="1">
      <c r="A874" s="342"/>
      <c r="B874" s="342"/>
      <c r="C874" s="1031" t="s">
        <v>1749</v>
      </c>
      <c r="D874" s="1031"/>
      <c r="E874" s="1031"/>
      <c r="F874" s="1031"/>
      <c r="G874" s="342" t="s">
        <v>61</v>
      </c>
      <c r="H874" s="422"/>
      <c r="I874" s="410">
        <v>1.22</v>
      </c>
      <c r="J874" s="410">
        <v>16.14</v>
      </c>
      <c r="K874" s="410">
        <v>0.12</v>
      </c>
      <c r="L874" s="414"/>
      <c r="M874" s="414"/>
      <c r="N874" s="400">
        <f t="shared" si="30"/>
        <v>19.690799999999999</v>
      </c>
      <c r="O874" s="381"/>
    </row>
    <row r="875" spans="1:15" s="109" customFormat="1" ht="15" customHeight="1">
      <c r="A875" s="342"/>
      <c r="B875" s="342"/>
      <c r="C875" s="1031" t="s">
        <v>1750</v>
      </c>
      <c r="D875" s="1031"/>
      <c r="E875" s="1031"/>
      <c r="F875" s="1031"/>
      <c r="G875" s="342" t="s">
        <v>61</v>
      </c>
      <c r="H875" s="422"/>
      <c r="I875" s="410">
        <v>2.61</v>
      </c>
      <c r="J875" s="410">
        <v>8.0299999999999994</v>
      </c>
      <c r="K875" s="410">
        <v>0.12</v>
      </c>
      <c r="L875" s="414"/>
      <c r="M875" s="414"/>
      <c r="N875" s="400">
        <f t="shared" si="30"/>
        <v>20.958299999999998</v>
      </c>
      <c r="O875" s="381"/>
    </row>
    <row r="876" spans="1:15" s="109" customFormat="1" ht="15" customHeight="1">
      <c r="A876" s="342"/>
      <c r="B876" s="342"/>
      <c r="C876" s="1031" t="s">
        <v>1751</v>
      </c>
      <c r="D876" s="1031"/>
      <c r="E876" s="1031"/>
      <c r="F876" s="1031"/>
      <c r="G876" s="342" t="s">
        <v>61</v>
      </c>
      <c r="H876" s="422"/>
      <c r="I876" s="410">
        <v>2.66</v>
      </c>
      <c r="J876" s="410">
        <v>4.62</v>
      </c>
      <c r="K876" s="410">
        <v>0.12</v>
      </c>
      <c r="L876" s="414"/>
      <c r="M876" s="414"/>
      <c r="N876" s="400">
        <f t="shared" si="30"/>
        <v>12.289200000000001</v>
      </c>
      <c r="O876" s="381"/>
    </row>
    <row r="877" spans="1:15" s="109" customFormat="1" ht="15" customHeight="1">
      <c r="A877" s="342"/>
      <c r="B877" s="342"/>
      <c r="C877" s="1031" t="s">
        <v>1752</v>
      </c>
      <c r="D877" s="1031"/>
      <c r="E877" s="1031"/>
      <c r="F877" s="1031"/>
      <c r="G877" s="342" t="s">
        <v>61</v>
      </c>
      <c r="H877" s="422"/>
      <c r="I877" s="410">
        <v>4.46</v>
      </c>
      <c r="J877" s="410">
        <v>2.0499999999999998</v>
      </c>
      <c r="K877" s="410">
        <v>0.12</v>
      </c>
      <c r="L877" s="414"/>
      <c r="M877" s="414"/>
      <c r="N877" s="400">
        <f t="shared" si="30"/>
        <v>9.1429999999999989</v>
      </c>
      <c r="O877" s="381"/>
    </row>
    <row r="878" spans="1:15" s="109" customFormat="1" ht="15" customHeight="1">
      <c r="A878" s="342"/>
      <c r="B878" s="342"/>
      <c r="C878" s="1031" t="s">
        <v>1753</v>
      </c>
      <c r="D878" s="1031"/>
      <c r="E878" s="1031"/>
      <c r="F878" s="1031"/>
      <c r="G878" s="342" t="s">
        <v>61</v>
      </c>
      <c r="H878" s="422"/>
      <c r="I878" s="410">
        <v>1.81</v>
      </c>
      <c r="J878" s="410">
        <v>4.2300000000000004</v>
      </c>
      <c r="K878" s="410">
        <v>0.12</v>
      </c>
      <c r="L878" s="414"/>
      <c r="M878" s="414"/>
      <c r="N878" s="400">
        <f t="shared" si="30"/>
        <v>7.6563000000000008</v>
      </c>
      <c r="O878" s="381"/>
    </row>
    <row r="879" spans="1:15" s="109" customFormat="1" ht="15" customHeight="1">
      <c r="A879" s="342"/>
      <c r="B879" s="342"/>
      <c r="C879" s="1031" t="s">
        <v>1754</v>
      </c>
      <c r="D879" s="1031"/>
      <c r="E879" s="1031"/>
      <c r="F879" s="1031"/>
      <c r="G879" s="342" t="s">
        <v>61</v>
      </c>
      <c r="H879" s="422"/>
      <c r="I879" s="410">
        <v>9.64</v>
      </c>
      <c r="J879" s="410">
        <v>4.2300000000000004</v>
      </c>
      <c r="K879" s="410">
        <v>0.12</v>
      </c>
      <c r="L879" s="414"/>
      <c r="M879" s="414"/>
      <c r="N879" s="400">
        <f t="shared" si="30"/>
        <v>40.777200000000008</v>
      </c>
      <c r="O879" s="381"/>
    </row>
    <row r="880" spans="1:15" s="109" customFormat="1" ht="15" customHeight="1">
      <c r="A880" s="342"/>
      <c r="B880" s="342"/>
      <c r="C880" s="1031" t="s">
        <v>1755</v>
      </c>
      <c r="D880" s="1031"/>
      <c r="E880" s="1031"/>
      <c r="F880" s="1031"/>
      <c r="G880" s="342" t="s">
        <v>61</v>
      </c>
      <c r="H880" s="422"/>
      <c r="I880" s="410">
        <v>4.46</v>
      </c>
      <c r="J880" s="410">
        <v>2.0499999999999998</v>
      </c>
      <c r="K880" s="410">
        <v>0.12</v>
      </c>
      <c r="L880" s="414"/>
      <c r="M880" s="414"/>
      <c r="N880" s="400">
        <f t="shared" si="30"/>
        <v>9.1429999999999989</v>
      </c>
      <c r="O880" s="381"/>
    </row>
    <row r="881" spans="1:15" s="109" customFormat="1" ht="15" customHeight="1">
      <c r="A881" s="342"/>
      <c r="B881" s="342"/>
      <c r="C881" s="1031" t="s">
        <v>1756</v>
      </c>
      <c r="D881" s="1031"/>
      <c r="E881" s="1031"/>
      <c r="F881" s="1031"/>
      <c r="G881" s="342" t="s">
        <v>61</v>
      </c>
      <c r="H881" s="422"/>
      <c r="I881" s="410">
        <v>3.05</v>
      </c>
      <c r="J881" s="410">
        <v>2.0499999999999998</v>
      </c>
      <c r="K881" s="410">
        <v>0.12</v>
      </c>
      <c r="L881" s="414"/>
      <c r="M881" s="414"/>
      <c r="N881" s="400">
        <f t="shared" si="30"/>
        <v>6.2524999999999995</v>
      </c>
      <c r="O881" s="381"/>
    </row>
    <row r="882" spans="1:15" s="109" customFormat="1" ht="15" customHeight="1">
      <c r="A882" s="342"/>
      <c r="B882" s="342"/>
      <c r="C882" s="1031" t="s">
        <v>1757</v>
      </c>
      <c r="D882" s="1031"/>
      <c r="E882" s="1031"/>
      <c r="F882" s="1031"/>
      <c r="G882" s="342" t="s">
        <v>61</v>
      </c>
      <c r="H882" s="422"/>
      <c r="I882" s="410">
        <v>3.61</v>
      </c>
      <c r="J882" s="410">
        <v>2.0499999999999998</v>
      </c>
      <c r="K882" s="410">
        <v>0.12</v>
      </c>
      <c r="L882" s="414"/>
      <c r="M882" s="414"/>
      <c r="N882" s="400">
        <f t="shared" si="30"/>
        <v>7.4004999999999992</v>
      </c>
      <c r="O882" s="381"/>
    </row>
    <row r="883" spans="1:15" s="109" customFormat="1" ht="15" customHeight="1">
      <c r="A883" s="342"/>
      <c r="B883" s="342"/>
      <c r="C883" s="1031" t="s">
        <v>1758</v>
      </c>
      <c r="D883" s="1031"/>
      <c r="E883" s="1031"/>
      <c r="F883" s="1031"/>
      <c r="G883" s="342" t="s">
        <v>61</v>
      </c>
      <c r="H883" s="422"/>
      <c r="I883" s="410">
        <v>5.55</v>
      </c>
      <c r="J883" s="410">
        <v>2.17</v>
      </c>
      <c r="K883" s="410">
        <v>0.12</v>
      </c>
      <c r="L883" s="414"/>
      <c r="M883" s="414"/>
      <c r="N883" s="400">
        <f t="shared" si="30"/>
        <v>12.0435</v>
      </c>
      <c r="O883" s="381"/>
    </row>
    <row r="884" spans="1:15" s="109" customFormat="1" ht="15" customHeight="1">
      <c r="A884" s="342"/>
      <c r="B884" s="342"/>
      <c r="C884" s="1031" t="s">
        <v>1759</v>
      </c>
      <c r="D884" s="1031"/>
      <c r="E884" s="1031"/>
      <c r="F884" s="1031"/>
      <c r="G884" s="342" t="s">
        <v>61</v>
      </c>
      <c r="H884" s="422"/>
      <c r="I884" s="410">
        <v>5.34</v>
      </c>
      <c r="J884" s="410">
        <v>2.17</v>
      </c>
      <c r="K884" s="410">
        <v>0.12</v>
      </c>
      <c r="L884" s="414"/>
      <c r="M884" s="414"/>
      <c r="N884" s="400">
        <f t="shared" si="30"/>
        <v>11.5878</v>
      </c>
      <c r="O884" s="381"/>
    </row>
    <row r="885" spans="1:15" s="109" customFormat="1" ht="15" customHeight="1">
      <c r="A885" s="342"/>
      <c r="B885" s="342"/>
      <c r="C885" s="1031" t="s">
        <v>1760</v>
      </c>
      <c r="D885" s="1031"/>
      <c r="E885" s="1031"/>
      <c r="F885" s="1031"/>
      <c r="G885" s="342" t="s">
        <v>61</v>
      </c>
      <c r="H885" s="422"/>
      <c r="I885" s="410">
        <v>5.51</v>
      </c>
      <c r="J885" s="410">
        <v>2.8</v>
      </c>
      <c r="K885" s="410">
        <v>0.12</v>
      </c>
      <c r="L885" s="414"/>
      <c r="M885" s="414"/>
      <c r="N885" s="400">
        <f t="shared" si="30"/>
        <v>15.427999999999999</v>
      </c>
      <c r="O885" s="381"/>
    </row>
    <row r="886" spans="1:15" s="109" customFormat="1" ht="15" customHeight="1">
      <c r="A886" s="342"/>
      <c r="B886" s="342"/>
      <c r="C886" s="1031" t="s">
        <v>1761</v>
      </c>
      <c r="D886" s="1031"/>
      <c r="E886" s="1031"/>
      <c r="F886" s="1031"/>
      <c r="G886" s="342" t="s">
        <v>61</v>
      </c>
      <c r="H886" s="422"/>
      <c r="I886" s="410">
        <v>3.01</v>
      </c>
      <c r="J886" s="410">
        <v>4.8499999999999996</v>
      </c>
      <c r="K886" s="410">
        <v>0.12</v>
      </c>
      <c r="L886" s="414"/>
      <c r="M886" s="414"/>
      <c r="N886" s="400">
        <f t="shared" si="30"/>
        <v>14.598499999999998</v>
      </c>
      <c r="O886" s="381"/>
    </row>
    <row r="887" spans="1:15" s="109" customFormat="1" ht="15" customHeight="1">
      <c r="A887" s="342"/>
      <c r="B887" s="342"/>
      <c r="C887" s="1031" t="s">
        <v>1762</v>
      </c>
      <c r="D887" s="1031"/>
      <c r="E887" s="1031"/>
      <c r="F887" s="1031"/>
      <c r="G887" s="342" t="s">
        <v>61</v>
      </c>
      <c r="H887" s="422"/>
      <c r="I887" s="410">
        <v>5.34</v>
      </c>
      <c r="J887" s="410">
        <v>3.5</v>
      </c>
      <c r="K887" s="410">
        <v>0.12</v>
      </c>
      <c r="L887" s="414"/>
      <c r="M887" s="414"/>
      <c r="N887" s="400">
        <f t="shared" si="30"/>
        <v>18.689999999999998</v>
      </c>
      <c r="O887" s="381"/>
    </row>
    <row r="888" spans="1:15" s="109" customFormat="1" ht="15" customHeight="1">
      <c r="A888" s="342"/>
      <c r="B888" s="342"/>
      <c r="C888" s="1031" t="s">
        <v>1763</v>
      </c>
      <c r="D888" s="1031"/>
      <c r="E888" s="1031"/>
      <c r="F888" s="1031"/>
      <c r="G888" s="342" t="s">
        <v>61</v>
      </c>
      <c r="H888" s="422"/>
      <c r="I888" s="410">
        <v>3</v>
      </c>
      <c r="J888" s="410">
        <v>4.2300000000000004</v>
      </c>
      <c r="K888" s="410">
        <v>0.12</v>
      </c>
      <c r="L888" s="414"/>
      <c r="M888" s="414"/>
      <c r="N888" s="400">
        <f t="shared" si="30"/>
        <v>12.690000000000001</v>
      </c>
      <c r="O888" s="381"/>
    </row>
    <row r="889" spans="1:15" s="109" customFormat="1" ht="15" customHeight="1">
      <c r="A889" s="342"/>
      <c r="B889" s="342"/>
      <c r="C889" s="1031" t="s">
        <v>1764</v>
      </c>
      <c r="D889" s="1031"/>
      <c r="E889" s="1031"/>
      <c r="F889" s="1031"/>
      <c r="G889" s="342" t="s">
        <v>61</v>
      </c>
      <c r="H889" s="422"/>
      <c r="I889" s="410">
        <v>5.41</v>
      </c>
      <c r="J889" s="410">
        <v>3.5</v>
      </c>
      <c r="K889" s="410">
        <v>0.12</v>
      </c>
      <c r="L889" s="414"/>
      <c r="M889" s="414"/>
      <c r="N889" s="400">
        <f t="shared" si="30"/>
        <v>18.935000000000002</v>
      </c>
      <c r="O889" s="381"/>
    </row>
    <row r="890" spans="1:15" s="109" customFormat="1" ht="15" customHeight="1">
      <c r="A890" s="342"/>
      <c r="B890" s="342"/>
      <c r="C890" s="1031" t="s">
        <v>1765</v>
      </c>
      <c r="D890" s="1031"/>
      <c r="E890" s="1031"/>
      <c r="F890" s="1031"/>
      <c r="G890" s="342" t="s">
        <v>61</v>
      </c>
      <c r="H890" s="422"/>
      <c r="I890" s="410">
        <v>3.21</v>
      </c>
      <c r="J890" s="410">
        <v>7.3</v>
      </c>
      <c r="K890" s="410">
        <v>0.12</v>
      </c>
      <c r="L890" s="414"/>
      <c r="M890" s="414"/>
      <c r="N890" s="400">
        <f t="shared" si="30"/>
        <v>23.433</v>
      </c>
      <c r="O890" s="381"/>
    </row>
    <row r="891" spans="1:15" s="109" customFormat="1" ht="15" customHeight="1">
      <c r="A891" s="342"/>
      <c r="B891" s="342"/>
      <c r="C891" s="1031" t="s">
        <v>1766</v>
      </c>
      <c r="D891" s="1031"/>
      <c r="E891" s="1031"/>
      <c r="F891" s="1031"/>
      <c r="G891" s="342" t="s">
        <v>61</v>
      </c>
      <c r="H891" s="422"/>
      <c r="I891" s="410">
        <v>5.51</v>
      </c>
      <c r="J891" s="410">
        <v>1.91</v>
      </c>
      <c r="K891" s="410">
        <v>0.12</v>
      </c>
      <c r="L891" s="414"/>
      <c r="M891" s="414"/>
      <c r="N891" s="400">
        <f t="shared" si="30"/>
        <v>10.524099999999999</v>
      </c>
      <c r="O891" s="381"/>
    </row>
    <row r="892" spans="1:15" s="109" customFormat="1" ht="15" customHeight="1">
      <c r="A892" s="342"/>
      <c r="B892" s="342"/>
      <c r="C892" s="1031" t="s">
        <v>1767</v>
      </c>
      <c r="D892" s="1031"/>
      <c r="E892" s="1031"/>
      <c r="F892" s="1031"/>
      <c r="G892" s="342" t="s">
        <v>61</v>
      </c>
      <c r="H892" s="422"/>
      <c r="I892" s="410"/>
      <c r="J892" s="410"/>
      <c r="K892" s="410">
        <v>0.12</v>
      </c>
      <c r="L892" s="414"/>
      <c r="M892" s="414"/>
      <c r="N892" s="400">
        <v>5.29</v>
      </c>
      <c r="O892" s="381"/>
    </row>
    <row r="893" spans="1:15" s="109" customFormat="1" ht="15" customHeight="1">
      <c r="A893" s="342"/>
      <c r="B893" s="342"/>
      <c r="C893" s="1031" t="s">
        <v>1768</v>
      </c>
      <c r="D893" s="1031"/>
      <c r="E893" s="1031"/>
      <c r="F893" s="1031"/>
      <c r="G893" s="342" t="s">
        <v>61</v>
      </c>
      <c r="H893" s="422"/>
      <c r="I893" s="410">
        <v>3.21</v>
      </c>
      <c r="J893" s="410">
        <v>10.01</v>
      </c>
      <c r="K893" s="410">
        <v>0.12</v>
      </c>
      <c r="L893" s="414"/>
      <c r="M893" s="414"/>
      <c r="N893" s="400">
        <f>I893*J893</f>
        <v>32.132100000000001</v>
      </c>
      <c r="O893" s="381"/>
    </row>
    <row r="894" spans="1:15" s="109" customFormat="1" ht="15" customHeight="1">
      <c r="A894" s="342"/>
      <c r="B894" s="342"/>
      <c r="C894" s="1031" t="s">
        <v>1769</v>
      </c>
      <c r="D894" s="1031"/>
      <c r="E894" s="1031"/>
      <c r="F894" s="1031"/>
      <c r="G894" s="342" t="s">
        <v>61</v>
      </c>
      <c r="H894" s="422"/>
      <c r="I894" s="410">
        <v>3.41</v>
      </c>
      <c r="J894" s="410">
        <v>7.83</v>
      </c>
      <c r="K894" s="410">
        <v>0.12</v>
      </c>
      <c r="L894" s="414"/>
      <c r="M894" s="414"/>
      <c r="N894" s="400">
        <f t="shared" ref="N894:N921" si="31">I894*J894</f>
        <v>26.700300000000002</v>
      </c>
      <c r="O894" s="381"/>
    </row>
    <row r="895" spans="1:15" s="109" customFormat="1" ht="15" customHeight="1">
      <c r="A895" s="342"/>
      <c r="B895" s="342"/>
      <c r="C895" s="1031" t="s">
        <v>1770</v>
      </c>
      <c r="D895" s="1031"/>
      <c r="E895" s="1031"/>
      <c r="F895" s="1031"/>
      <c r="G895" s="342" t="s">
        <v>61</v>
      </c>
      <c r="H895" s="422"/>
      <c r="I895" s="410">
        <v>3.21</v>
      </c>
      <c r="J895" s="410">
        <v>10.01</v>
      </c>
      <c r="K895" s="410">
        <v>0.12</v>
      </c>
      <c r="L895" s="414"/>
      <c r="M895" s="414"/>
      <c r="N895" s="400">
        <f t="shared" si="31"/>
        <v>32.132100000000001</v>
      </c>
      <c r="O895" s="381"/>
    </row>
    <row r="896" spans="1:15" s="109" customFormat="1" ht="15" customHeight="1">
      <c r="A896" s="342"/>
      <c r="B896" s="342"/>
      <c r="C896" s="1031" t="s">
        <v>1771</v>
      </c>
      <c r="D896" s="1031"/>
      <c r="E896" s="1031"/>
      <c r="F896" s="1031"/>
      <c r="G896" s="342" t="s">
        <v>61</v>
      </c>
      <c r="H896" s="422"/>
      <c r="I896" s="410">
        <v>3.05</v>
      </c>
      <c r="J896" s="410">
        <v>7.83</v>
      </c>
      <c r="K896" s="410">
        <v>0.12</v>
      </c>
      <c r="L896" s="414"/>
      <c r="M896" s="414"/>
      <c r="N896" s="400">
        <f t="shared" si="31"/>
        <v>23.881499999999999</v>
      </c>
      <c r="O896" s="381"/>
    </row>
    <row r="897" spans="1:15" s="109" customFormat="1" ht="15" customHeight="1">
      <c r="A897" s="342"/>
      <c r="B897" s="342"/>
      <c r="C897" s="1031" t="s">
        <v>1772</v>
      </c>
      <c r="D897" s="1031"/>
      <c r="E897" s="1031"/>
      <c r="F897" s="1031"/>
      <c r="G897" s="342" t="s">
        <v>61</v>
      </c>
      <c r="H897" s="422"/>
      <c r="I897" s="410">
        <v>3.11</v>
      </c>
      <c r="J897" s="410">
        <v>2.71</v>
      </c>
      <c r="K897" s="410">
        <v>0.12</v>
      </c>
      <c r="L897" s="414"/>
      <c r="M897" s="414"/>
      <c r="N897" s="400">
        <f t="shared" si="31"/>
        <v>8.4280999999999988</v>
      </c>
      <c r="O897" s="381"/>
    </row>
    <row r="898" spans="1:15" s="109" customFormat="1" ht="15" customHeight="1">
      <c r="A898" s="342"/>
      <c r="B898" s="342"/>
      <c r="C898" s="1031" t="s">
        <v>1773</v>
      </c>
      <c r="D898" s="1031"/>
      <c r="E898" s="1031"/>
      <c r="F898" s="1031"/>
      <c r="G898" s="342" t="s">
        <v>61</v>
      </c>
      <c r="H898" s="422"/>
      <c r="I898" s="410">
        <v>3.95</v>
      </c>
      <c r="J898" s="410">
        <v>2.71</v>
      </c>
      <c r="K898" s="410">
        <v>0.12</v>
      </c>
      <c r="L898" s="414"/>
      <c r="M898" s="414"/>
      <c r="N898" s="400">
        <f t="shared" si="31"/>
        <v>10.704499999999999</v>
      </c>
      <c r="O898" s="381"/>
    </row>
    <row r="899" spans="1:15" s="109" customFormat="1" ht="15" customHeight="1">
      <c r="A899" s="342"/>
      <c r="B899" s="342"/>
      <c r="C899" s="1031" t="s">
        <v>1774</v>
      </c>
      <c r="D899" s="1031"/>
      <c r="E899" s="1031"/>
      <c r="F899" s="1031"/>
      <c r="G899" s="342" t="s">
        <v>61</v>
      </c>
      <c r="H899" s="422"/>
      <c r="I899" s="410">
        <v>3.76</v>
      </c>
      <c r="J899" s="410">
        <v>1.81</v>
      </c>
      <c r="K899" s="410">
        <v>0.12</v>
      </c>
      <c r="L899" s="414"/>
      <c r="M899" s="414"/>
      <c r="N899" s="400">
        <f t="shared" si="31"/>
        <v>6.8056000000000001</v>
      </c>
      <c r="O899" s="381"/>
    </row>
    <row r="900" spans="1:15" s="109" customFormat="1" ht="15" customHeight="1">
      <c r="A900" s="376"/>
      <c r="B900" s="376"/>
      <c r="C900" s="1031" t="s">
        <v>1775</v>
      </c>
      <c r="D900" s="1031"/>
      <c r="E900" s="1031"/>
      <c r="F900" s="1031"/>
      <c r="G900" s="342" t="s">
        <v>61</v>
      </c>
      <c r="H900" s="422"/>
      <c r="I900" s="410">
        <v>1.91</v>
      </c>
      <c r="J900" s="410">
        <v>3.46</v>
      </c>
      <c r="K900" s="410">
        <v>0.12</v>
      </c>
      <c r="L900" s="400"/>
      <c r="M900" s="424"/>
      <c r="N900" s="400">
        <f t="shared" si="31"/>
        <v>6.6086</v>
      </c>
      <c r="O900" s="421"/>
    </row>
    <row r="901" spans="1:15" s="109" customFormat="1" ht="15" customHeight="1">
      <c r="A901" s="342"/>
      <c r="B901" s="342"/>
      <c r="C901" s="1031" t="s">
        <v>1776</v>
      </c>
      <c r="D901" s="1031"/>
      <c r="E901" s="1031"/>
      <c r="F901" s="1031"/>
      <c r="G901" s="342" t="s">
        <v>61</v>
      </c>
      <c r="H901" s="422"/>
      <c r="I901" s="410">
        <v>3.76</v>
      </c>
      <c r="J901" s="410">
        <v>1.51</v>
      </c>
      <c r="K901" s="410">
        <v>0.12</v>
      </c>
      <c r="L901" s="414"/>
      <c r="M901" s="414"/>
      <c r="N901" s="400">
        <f t="shared" si="31"/>
        <v>5.6776</v>
      </c>
      <c r="O901" s="381"/>
    </row>
    <row r="902" spans="1:15" s="109" customFormat="1" ht="15" customHeight="1">
      <c r="A902" s="342"/>
      <c r="B902" s="342"/>
      <c r="C902" s="1031" t="s">
        <v>1777</v>
      </c>
      <c r="D902" s="1031"/>
      <c r="E902" s="1031"/>
      <c r="F902" s="1031"/>
      <c r="G902" s="342" t="s">
        <v>61</v>
      </c>
      <c r="H902" s="422"/>
      <c r="I902" s="410">
        <v>7.06</v>
      </c>
      <c r="J902" s="410">
        <v>1.21</v>
      </c>
      <c r="K902" s="410">
        <v>0.12</v>
      </c>
      <c r="L902" s="414"/>
      <c r="M902" s="414"/>
      <c r="N902" s="400">
        <f t="shared" si="31"/>
        <v>8.5425999999999984</v>
      </c>
      <c r="O902" s="381"/>
    </row>
    <row r="903" spans="1:15" s="109" customFormat="1" ht="15" customHeight="1">
      <c r="A903" s="342"/>
      <c r="B903" s="342"/>
      <c r="C903" s="1031" t="s">
        <v>1778</v>
      </c>
      <c r="D903" s="1031"/>
      <c r="E903" s="1031"/>
      <c r="F903" s="1031"/>
      <c r="G903" s="342" t="s">
        <v>61</v>
      </c>
      <c r="H903" s="422"/>
      <c r="I903" s="410">
        <v>3.76</v>
      </c>
      <c r="J903" s="410">
        <v>1.1100000000000001</v>
      </c>
      <c r="K903" s="410">
        <v>0.12</v>
      </c>
      <c r="L903" s="414"/>
      <c r="M903" s="414"/>
      <c r="N903" s="400">
        <f t="shared" si="31"/>
        <v>4.1736000000000004</v>
      </c>
      <c r="O903" s="381"/>
    </row>
    <row r="904" spans="1:15" s="109" customFormat="1" ht="15" customHeight="1">
      <c r="A904" s="342"/>
      <c r="B904" s="342"/>
      <c r="C904" s="1093" t="s">
        <v>1779</v>
      </c>
      <c r="D904" s="1093"/>
      <c r="E904" s="1093"/>
      <c r="F904" s="1093"/>
      <c r="G904" s="342"/>
      <c r="H904" s="422"/>
      <c r="I904" s="410"/>
      <c r="J904" s="410"/>
      <c r="K904" s="410"/>
      <c r="L904" s="414"/>
      <c r="M904" s="414"/>
      <c r="N904" s="400">
        <f t="shared" si="31"/>
        <v>0</v>
      </c>
      <c r="O904" s="381"/>
    </row>
    <row r="905" spans="1:15" s="109" customFormat="1" ht="15" customHeight="1">
      <c r="A905" s="342"/>
      <c r="B905" s="342"/>
      <c r="C905" s="1031" t="s">
        <v>1780</v>
      </c>
      <c r="D905" s="1031"/>
      <c r="E905" s="1031"/>
      <c r="F905" s="1031"/>
      <c r="G905" s="342" t="s">
        <v>61</v>
      </c>
      <c r="H905" s="422"/>
      <c r="I905" s="410">
        <v>3.01</v>
      </c>
      <c r="J905" s="410">
        <v>2.71</v>
      </c>
      <c r="K905" s="410">
        <v>0.12</v>
      </c>
      <c r="L905" s="414"/>
      <c r="M905" s="414"/>
      <c r="N905" s="400">
        <f t="shared" si="31"/>
        <v>8.1570999999999998</v>
      </c>
      <c r="O905" s="381"/>
    </row>
    <row r="906" spans="1:15" s="109" customFormat="1" ht="15" customHeight="1">
      <c r="A906" s="342"/>
      <c r="B906" s="342"/>
      <c r="C906" s="1031" t="s">
        <v>1781</v>
      </c>
      <c r="D906" s="1031"/>
      <c r="E906" s="1031"/>
      <c r="F906" s="1031"/>
      <c r="G906" s="342" t="s">
        <v>61</v>
      </c>
      <c r="H906" s="422"/>
      <c r="I906" s="410">
        <v>3.01</v>
      </c>
      <c r="J906" s="410">
        <v>2.71</v>
      </c>
      <c r="K906" s="410">
        <v>0.12</v>
      </c>
      <c r="L906" s="414"/>
      <c r="M906" s="414"/>
      <c r="N906" s="400">
        <f t="shared" si="31"/>
        <v>8.1570999999999998</v>
      </c>
      <c r="O906" s="381"/>
    </row>
    <row r="907" spans="1:15" s="109" customFormat="1" ht="15" customHeight="1">
      <c r="A907" s="342"/>
      <c r="B907" s="342"/>
      <c r="C907" s="1031" t="s">
        <v>1782</v>
      </c>
      <c r="D907" s="1031"/>
      <c r="E907" s="1031"/>
      <c r="F907" s="1031"/>
      <c r="G907" s="342" t="s">
        <v>61</v>
      </c>
      <c r="H907" s="422"/>
      <c r="I907" s="410">
        <v>4.0599999999999996</v>
      </c>
      <c r="J907" s="410">
        <v>2.71</v>
      </c>
      <c r="K907" s="410">
        <v>0.12</v>
      </c>
      <c r="L907" s="414"/>
      <c r="M907" s="414"/>
      <c r="N907" s="400">
        <f t="shared" si="31"/>
        <v>11.002599999999999</v>
      </c>
      <c r="O907" s="381"/>
    </row>
    <row r="908" spans="1:15" s="109" customFormat="1" ht="15" customHeight="1">
      <c r="A908" s="342"/>
      <c r="B908" s="342"/>
      <c r="C908" s="1031" t="s">
        <v>1783</v>
      </c>
      <c r="D908" s="1031"/>
      <c r="E908" s="1031"/>
      <c r="F908" s="1031"/>
      <c r="G908" s="342" t="s">
        <v>61</v>
      </c>
      <c r="H908" s="422"/>
      <c r="I908" s="410">
        <v>2.5099999999999998</v>
      </c>
      <c r="J908" s="410">
        <v>2.68</v>
      </c>
      <c r="K908" s="410">
        <v>0.12</v>
      </c>
      <c r="L908" s="414"/>
      <c r="M908" s="414"/>
      <c r="N908" s="400">
        <f t="shared" si="31"/>
        <v>6.7267999999999999</v>
      </c>
      <c r="O908" s="381"/>
    </row>
    <row r="909" spans="1:15" s="109" customFormat="1" ht="15" customHeight="1">
      <c r="A909" s="342"/>
      <c r="B909" s="342"/>
      <c r="C909" s="1031" t="s">
        <v>1784</v>
      </c>
      <c r="D909" s="1031"/>
      <c r="E909" s="1031"/>
      <c r="F909" s="1031"/>
      <c r="G909" s="342" t="s">
        <v>61</v>
      </c>
      <c r="H909" s="422"/>
      <c r="I909" s="410">
        <v>2.5099999999999998</v>
      </c>
      <c r="J909" s="410">
        <v>2.4</v>
      </c>
      <c r="K909" s="410">
        <v>0.12</v>
      </c>
      <c r="L909" s="414"/>
      <c r="M909" s="414"/>
      <c r="N909" s="400">
        <f t="shared" si="31"/>
        <v>6.0239999999999991</v>
      </c>
      <c r="O909" s="381"/>
    </row>
    <row r="910" spans="1:15" s="109" customFormat="1" ht="15" customHeight="1">
      <c r="A910" s="342"/>
      <c r="B910" s="342"/>
      <c r="C910" s="1031" t="s">
        <v>1785</v>
      </c>
      <c r="D910" s="1031"/>
      <c r="E910" s="1031"/>
      <c r="F910" s="1031"/>
      <c r="G910" s="342" t="s">
        <v>61</v>
      </c>
      <c r="H910" s="422"/>
      <c r="I910" s="410">
        <v>3.36</v>
      </c>
      <c r="J910" s="410">
        <v>2.09</v>
      </c>
      <c r="K910" s="410">
        <v>0.12</v>
      </c>
      <c r="L910" s="414"/>
      <c r="M910" s="414"/>
      <c r="N910" s="400">
        <f t="shared" si="31"/>
        <v>7.0223999999999993</v>
      </c>
      <c r="O910" s="381"/>
    </row>
    <row r="911" spans="1:15" s="109" customFormat="1" ht="15" customHeight="1">
      <c r="A911" s="342"/>
      <c r="B911" s="342"/>
      <c r="C911" s="1031" t="s">
        <v>1786</v>
      </c>
      <c r="D911" s="1031"/>
      <c r="E911" s="1031"/>
      <c r="F911" s="1031"/>
      <c r="G911" s="342" t="s">
        <v>61</v>
      </c>
      <c r="H911" s="422"/>
      <c r="I911" s="410">
        <v>3.06</v>
      </c>
      <c r="J911" s="410">
        <v>2.7</v>
      </c>
      <c r="K911" s="410">
        <v>0.12</v>
      </c>
      <c r="L911" s="414"/>
      <c r="M911" s="414"/>
      <c r="N911" s="400">
        <f t="shared" si="31"/>
        <v>8.2620000000000005</v>
      </c>
      <c r="O911" s="381"/>
    </row>
    <row r="912" spans="1:15" s="109" customFormat="1" ht="15" customHeight="1">
      <c r="A912" s="342"/>
      <c r="B912" s="342"/>
      <c r="C912" s="1031" t="s">
        <v>1787</v>
      </c>
      <c r="D912" s="1031"/>
      <c r="E912" s="1031"/>
      <c r="F912" s="1031"/>
      <c r="G912" s="342" t="s">
        <v>61</v>
      </c>
      <c r="H912" s="422"/>
      <c r="I912" s="410">
        <v>3.36</v>
      </c>
      <c r="J912" s="410">
        <v>2.7</v>
      </c>
      <c r="K912" s="410">
        <v>0.12</v>
      </c>
      <c r="L912" s="414"/>
      <c r="M912" s="414"/>
      <c r="N912" s="400">
        <f t="shared" si="31"/>
        <v>9.072000000000001</v>
      </c>
      <c r="O912" s="381"/>
    </row>
    <row r="913" spans="1:15" s="109" customFormat="1" ht="15" customHeight="1">
      <c r="A913" s="342"/>
      <c r="B913" s="342"/>
      <c r="C913" s="1031" t="s">
        <v>1788</v>
      </c>
      <c r="D913" s="1031"/>
      <c r="E913" s="1031"/>
      <c r="F913" s="1031"/>
      <c r="G913" s="342" t="s">
        <v>61</v>
      </c>
      <c r="H913" s="422"/>
      <c r="I913" s="410">
        <v>4.08</v>
      </c>
      <c r="J913" s="410">
        <v>2.71</v>
      </c>
      <c r="K913" s="410">
        <v>0.12</v>
      </c>
      <c r="L913" s="414"/>
      <c r="M913" s="414"/>
      <c r="N913" s="400">
        <f t="shared" si="31"/>
        <v>11.056800000000001</v>
      </c>
      <c r="O913" s="381"/>
    </row>
    <row r="914" spans="1:15" s="109" customFormat="1" ht="15" customHeight="1">
      <c r="A914" s="342"/>
      <c r="B914" s="342"/>
      <c r="C914" s="1031" t="s">
        <v>1789</v>
      </c>
      <c r="D914" s="1031"/>
      <c r="E914" s="1031"/>
      <c r="F914" s="1031"/>
      <c r="G914" s="342" t="s">
        <v>61</v>
      </c>
      <c r="H914" s="422"/>
      <c r="I914" s="410">
        <v>2.5099999999999998</v>
      </c>
      <c r="J914" s="410">
        <v>2.4</v>
      </c>
      <c r="K914" s="410">
        <v>0.12</v>
      </c>
      <c r="L914" s="414"/>
      <c r="M914" s="414"/>
      <c r="N914" s="400">
        <f t="shared" si="31"/>
        <v>6.0239999999999991</v>
      </c>
      <c r="O914" s="381"/>
    </row>
    <row r="915" spans="1:15" s="109" customFormat="1" ht="15" customHeight="1">
      <c r="A915" s="342"/>
      <c r="B915" s="342"/>
      <c r="C915" s="1031" t="s">
        <v>1790</v>
      </c>
      <c r="D915" s="1031"/>
      <c r="E915" s="1031"/>
      <c r="F915" s="1031"/>
      <c r="G915" s="342" t="s">
        <v>61</v>
      </c>
      <c r="H915" s="422"/>
      <c r="I915" s="410">
        <v>3.47</v>
      </c>
      <c r="J915" s="410">
        <v>4.59</v>
      </c>
      <c r="K915" s="410">
        <v>0.12</v>
      </c>
      <c r="L915" s="414"/>
      <c r="M915" s="414"/>
      <c r="N915" s="400">
        <f t="shared" si="31"/>
        <v>15.927300000000001</v>
      </c>
      <c r="O915" s="381"/>
    </row>
    <row r="916" spans="1:15" s="109" customFormat="1" ht="15" customHeight="1">
      <c r="A916" s="342"/>
      <c r="B916" s="342"/>
      <c r="C916" s="1031" t="s">
        <v>1791</v>
      </c>
      <c r="D916" s="1031"/>
      <c r="E916" s="1031"/>
      <c r="F916" s="1031"/>
      <c r="G916" s="342" t="s">
        <v>61</v>
      </c>
      <c r="H916" s="422"/>
      <c r="I916" s="410">
        <v>3.61</v>
      </c>
      <c r="J916" s="410">
        <v>6.4</v>
      </c>
      <c r="K916" s="410">
        <v>0.12</v>
      </c>
      <c r="L916" s="414"/>
      <c r="M916" s="414"/>
      <c r="N916" s="400">
        <f t="shared" si="31"/>
        <v>23.103999999999999</v>
      </c>
      <c r="O916" s="381"/>
    </row>
    <row r="917" spans="1:15" s="109" customFormat="1" ht="15" customHeight="1">
      <c r="A917" s="342"/>
      <c r="B917" s="342"/>
      <c r="C917" s="1031" t="s">
        <v>1792</v>
      </c>
      <c r="D917" s="1031"/>
      <c r="E917" s="1031"/>
      <c r="F917" s="1031"/>
      <c r="G917" s="342" t="s">
        <v>61</v>
      </c>
      <c r="H917" s="422"/>
      <c r="I917" s="410">
        <v>3.61</v>
      </c>
      <c r="J917" s="410">
        <v>6.68</v>
      </c>
      <c r="K917" s="410">
        <v>0.12</v>
      </c>
      <c r="L917" s="414"/>
      <c r="M917" s="414"/>
      <c r="N917" s="400">
        <f t="shared" si="31"/>
        <v>24.114799999999999</v>
      </c>
      <c r="O917" s="381"/>
    </row>
    <row r="918" spans="1:15" s="109" customFormat="1" ht="15" customHeight="1">
      <c r="A918" s="342"/>
      <c r="B918" s="342"/>
      <c r="C918" s="1031" t="s">
        <v>1793</v>
      </c>
      <c r="D918" s="1031"/>
      <c r="E918" s="1031"/>
      <c r="F918" s="1031"/>
      <c r="G918" s="342" t="s">
        <v>61</v>
      </c>
      <c r="H918" s="422"/>
      <c r="I918" s="410">
        <v>3.61</v>
      </c>
      <c r="J918" s="410">
        <v>6.68</v>
      </c>
      <c r="K918" s="410">
        <v>0.12</v>
      </c>
      <c r="L918" s="414"/>
      <c r="M918" s="414"/>
      <c r="N918" s="400">
        <f t="shared" si="31"/>
        <v>24.114799999999999</v>
      </c>
      <c r="O918" s="381"/>
    </row>
    <row r="919" spans="1:15" s="109" customFormat="1" ht="15" customHeight="1">
      <c r="A919" s="342"/>
      <c r="B919" s="342"/>
      <c r="C919" s="1031" t="s">
        <v>1794</v>
      </c>
      <c r="D919" s="1031"/>
      <c r="E919" s="1031"/>
      <c r="F919" s="1031"/>
      <c r="G919" s="342" t="s">
        <v>61</v>
      </c>
      <c r="H919" s="422"/>
      <c r="I919" s="410">
        <v>3.61</v>
      </c>
      <c r="J919" s="410">
        <v>6.68</v>
      </c>
      <c r="K919" s="410">
        <v>0.12</v>
      </c>
      <c r="L919" s="414"/>
      <c r="M919" s="414"/>
      <c r="N919" s="400">
        <f t="shared" si="31"/>
        <v>24.114799999999999</v>
      </c>
      <c r="O919" s="381"/>
    </row>
    <row r="920" spans="1:15" s="109" customFormat="1" ht="15" customHeight="1">
      <c r="A920" s="342"/>
      <c r="B920" s="342"/>
      <c r="C920" s="1031" t="s">
        <v>1795</v>
      </c>
      <c r="D920" s="1031"/>
      <c r="E920" s="1031"/>
      <c r="F920" s="1031"/>
      <c r="G920" s="342" t="s">
        <v>61</v>
      </c>
      <c r="H920" s="422"/>
      <c r="I920" s="410">
        <v>3.01</v>
      </c>
      <c r="J920" s="410">
        <v>1.77</v>
      </c>
      <c r="K920" s="410">
        <v>0.12</v>
      </c>
      <c r="L920" s="414"/>
      <c r="M920" s="414"/>
      <c r="N920" s="400">
        <f t="shared" si="31"/>
        <v>5.3277000000000001</v>
      </c>
      <c r="O920" s="381"/>
    </row>
    <row r="921" spans="1:15" s="109" customFormat="1" ht="15" customHeight="1">
      <c r="A921" s="342"/>
      <c r="B921" s="342"/>
      <c r="C921" s="1031" t="s">
        <v>1796</v>
      </c>
      <c r="D921" s="1031"/>
      <c r="E921" s="1031"/>
      <c r="F921" s="1031"/>
      <c r="G921" s="342" t="s">
        <v>61</v>
      </c>
      <c r="H921" s="422"/>
      <c r="I921" s="410">
        <v>3.18</v>
      </c>
      <c r="J921" s="410">
        <v>3.88</v>
      </c>
      <c r="K921" s="410">
        <v>0.12</v>
      </c>
      <c r="L921" s="414"/>
      <c r="M921" s="414"/>
      <c r="N921" s="400">
        <f t="shared" si="31"/>
        <v>12.3384</v>
      </c>
      <c r="O921" s="381"/>
    </row>
    <row r="922" spans="1:15" s="109" customFormat="1" ht="15" customHeight="1">
      <c r="A922" s="342"/>
      <c r="B922" s="342"/>
      <c r="C922" s="1031"/>
      <c r="D922" s="1031"/>
      <c r="E922" s="1031"/>
      <c r="F922" s="1031"/>
      <c r="G922" s="342"/>
      <c r="H922" s="422">
        <v>1.1000000000000001</v>
      </c>
      <c r="I922" s="410"/>
      <c r="J922" s="410"/>
      <c r="K922" s="410"/>
      <c r="L922" s="414"/>
      <c r="M922" s="414"/>
      <c r="N922" s="400">
        <f t="shared" ref="N922" si="32">H922*I922*J922</f>
        <v>0</v>
      </c>
      <c r="O922" s="381"/>
    </row>
    <row r="923" spans="1:15" s="109" customFormat="1" ht="54" customHeight="1">
      <c r="A923" s="377">
        <f>ORÇAMENTO!A102</f>
        <v>7194</v>
      </c>
      <c r="B923" s="377" t="str">
        <f>ORÇAMENTO!C102</f>
        <v>5.04.02</v>
      </c>
      <c r="C923" s="1047" t="str">
        <f>ORÇAMENTO!D102</f>
        <v>CONTROLE TECNOLÓGICO DE CONCRETO ""COM"" MOLDAGEM DE CORPOS DE PROVA, DISTANCIA 61 A 100 KM</v>
      </c>
      <c r="D923" s="1047"/>
      <c r="E923" s="1047"/>
      <c r="F923" s="1047"/>
      <c r="G923" s="377" t="str">
        <f>ORÇAMENTO!E102</f>
        <v>DIA</v>
      </c>
      <c r="H923" s="380">
        <f>SUM(H924)</f>
        <v>40</v>
      </c>
      <c r="I923" s="387"/>
      <c r="J923" s="380"/>
      <c r="K923" s="388"/>
      <c r="L923" s="380"/>
      <c r="M923" s="379"/>
      <c r="N923" s="380"/>
      <c r="O923" s="380"/>
    </row>
    <row r="924" spans="1:15" s="109" customFormat="1" ht="16.5" customHeight="1">
      <c r="A924" s="342"/>
      <c r="B924" s="396"/>
      <c r="C924" s="1030" t="s">
        <v>1809</v>
      </c>
      <c r="D924" s="1030"/>
      <c r="E924" s="1030"/>
      <c r="F924" s="1030"/>
      <c r="G924" s="343" t="s">
        <v>80</v>
      </c>
      <c r="H924" s="400">
        <f>4*10</f>
        <v>40</v>
      </c>
      <c r="I924" s="401"/>
      <c r="J924" s="586"/>
      <c r="K924" s="587"/>
      <c r="L924" s="587"/>
      <c r="M924" s="587"/>
      <c r="N924" s="410"/>
      <c r="O924" s="400"/>
    </row>
    <row r="925" spans="1:15" s="109" customFormat="1" ht="33" customHeight="1">
      <c r="A925" s="344">
        <f>ORÇAMENTO!A103</f>
        <v>10337</v>
      </c>
      <c r="B925" s="344" t="str">
        <f>ORÇAMENTO!C103</f>
        <v>5.04.03</v>
      </c>
      <c r="C925" s="1020" t="str">
        <f>ORÇAMENTO!D103</f>
        <v>MICROCONCRETO FLUIDO (AUTOADENSÁVEL) C/ GROUT ATÉ 50% DE PÓ DE PEDRA (PEDRISCO - BRITA 0) LANÇAMENTO E CURA</v>
      </c>
      <c r="D925" s="1020"/>
      <c r="E925" s="1020"/>
      <c r="F925" s="1020"/>
      <c r="G925" s="344" t="str">
        <f>ORÇAMENTO!E103</f>
        <v>M³</v>
      </c>
      <c r="H925" s="429"/>
      <c r="I925" s="707"/>
      <c r="J925" s="429"/>
      <c r="K925" s="708"/>
      <c r="L925" s="429"/>
      <c r="M925" s="345"/>
      <c r="N925" s="429"/>
      <c r="O925" s="429">
        <f>SUM(O926:O927)</f>
        <v>1.9032</v>
      </c>
    </row>
    <row r="926" spans="1:15" s="109" customFormat="1" ht="16.5" customHeight="1">
      <c r="A926" s="342"/>
      <c r="B926" s="396"/>
      <c r="C926" s="1030" t="s">
        <v>1810</v>
      </c>
      <c r="D926" s="1030"/>
      <c r="E926" s="1030"/>
      <c r="F926" s="1030"/>
      <c r="G926" s="343" t="s">
        <v>109</v>
      </c>
      <c r="H926" s="400">
        <v>2</v>
      </c>
      <c r="I926" s="401">
        <v>3.04</v>
      </c>
      <c r="J926" s="586">
        <v>2.33</v>
      </c>
      <c r="K926" s="587">
        <v>1</v>
      </c>
      <c r="L926" s="587"/>
      <c r="M926" s="587"/>
      <c r="N926" s="410">
        <f>0.15*0.1</f>
        <v>1.4999999999999999E-2</v>
      </c>
      <c r="O926" s="400">
        <f>((((I926+K926)*2)+((J926+K926)*2))*H926*H926)*N926</f>
        <v>0.88439999999999996</v>
      </c>
    </row>
    <row r="927" spans="1:15" s="109" customFormat="1" ht="16.5" customHeight="1">
      <c r="A927" s="342"/>
      <c r="B927" s="396"/>
      <c r="C927" s="1030" t="s">
        <v>1811</v>
      </c>
      <c r="D927" s="1030"/>
      <c r="E927" s="1030"/>
      <c r="F927" s="1030"/>
      <c r="G927" s="343"/>
      <c r="H927" s="400">
        <v>2</v>
      </c>
      <c r="I927" s="401">
        <v>3.14</v>
      </c>
      <c r="J927" s="586">
        <v>2.5499999999999998</v>
      </c>
      <c r="K927" s="587">
        <v>1.4</v>
      </c>
      <c r="L927" s="587"/>
      <c r="M927" s="587"/>
      <c r="N927" s="410">
        <f>0.15*0.1</f>
        <v>1.4999999999999999E-2</v>
      </c>
      <c r="O927" s="400">
        <f>((((I927+K927)*2)+((J927+K927)*2))*H927*H927)*N927</f>
        <v>1.0187999999999999</v>
      </c>
    </row>
    <row r="928" spans="1:15" s="109" customFormat="1" ht="39" customHeight="1">
      <c r="A928" s="344">
        <f>ORÇAMENTO!A104</f>
        <v>12688</v>
      </c>
      <c r="B928" s="344" t="str">
        <f>ORÇAMENTO!C104</f>
        <v>5.04.04</v>
      </c>
      <c r="C928" s="1020" t="str">
        <f>ORÇAMENTO!D104</f>
        <v>ALVENARIA BLOCO CONCRETO ESTRUTURAL 14X19X39CM, FBK ATÉ 6 MPA, ESP = 0,14M, GROUTEADA FCK 21MPA, ARMADA VERT. 3/8" C/13, HOR. 5/16" C/20</v>
      </c>
      <c r="D928" s="1020"/>
      <c r="E928" s="1020"/>
      <c r="F928" s="1020"/>
      <c r="G928" s="344" t="str">
        <f>ORÇAMENTO!E104</f>
        <v>M²</v>
      </c>
      <c r="H928" s="429"/>
      <c r="I928" s="707"/>
      <c r="J928" s="429"/>
      <c r="K928" s="708"/>
      <c r="L928" s="429"/>
      <c r="M928" s="345"/>
      <c r="N928" s="429">
        <f>SUM(N929:N930)</f>
        <v>73.171999999999997</v>
      </c>
      <c r="O928" s="429"/>
    </row>
    <row r="929" spans="1:15" s="109" customFormat="1" ht="16.5" customHeight="1">
      <c r="A929" s="342"/>
      <c r="B929" s="396"/>
      <c r="C929" s="1030" t="s">
        <v>1810</v>
      </c>
      <c r="D929" s="1030"/>
      <c r="E929" s="1030"/>
      <c r="F929" s="1030"/>
      <c r="G929" s="343" t="s">
        <v>61</v>
      </c>
      <c r="H929" s="400">
        <v>2</v>
      </c>
      <c r="I929" s="401">
        <v>3.04</v>
      </c>
      <c r="J929" s="586">
        <v>2.33</v>
      </c>
      <c r="K929" s="587">
        <v>1</v>
      </c>
      <c r="L929" s="587"/>
      <c r="M929" s="587"/>
      <c r="N929" s="410">
        <f>(((I929*J929)*2)*K929)*H929</f>
        <v>28.332800000000002</v>
      </c>
      <c r="O929" s="400"/>
    </row>
    <row r="930" spans="1:15" s="109" customFormat="1" ht="16.5" customHeight="1">
      <c r="A930" s="342"/>
      <c r="B930" s="396"/>
      <c r="C930" s="1030" t="s">
        <v>1811</v>
      </c>
      <c r="D930" s="1030"/>
      <c r="E930" s="1030"/>
      <c r="F930" s="1030"/>
      <c r="G930" s="343" t="s">
        <v>61</v>
      </c>
      <c r="H930" s="400">
        <v>2</v>
      </c>
      <c r="I930" s="401">
        <v>3.14</v>
      </c>
      <c r="J930" s="586">
        <v>2.5499999999999998</v>
      </c>
      <c r="K930" s="587">
        <v>1.4</v>
      </c>
      <c r="L930" s="587"/>
      <c r="M930" s="587"/>
      <c r="N930" s="410">
        <f>(((I930*J930)*2)*K930)*H930</f>
        <v>44.839199999999998</v>
      </c>
      <c r="O930" s="400"/>
    </row>
    <row r="931" spans="1:15" ht="16.5" customHeight="1">
      <c r="A931" s="376"/>
      <c r="B931" s="376" t="str">
        <f>ORÇAMENTO!C105</f>
        <v>6.00</v>
      </c>
      <c r="C931" s="1051" t="str">
        <f>ORÇAMENTO!D105</f>
        <v>PAREDES E PAINEIS</v>
      </c>
      <c r="D931" s="1051"/>
      <c r="E931" s="1051"/>
      <c r="F931" s="1051"/>
      <c r="G931" s="1039"/>
      <c r="H931" s="1039"/>
      <c r="I931" s="1039"/>
      <c r="J931" s="1039"/>
      <c r="K931" s="1039"/>
      <c r="L931" s="1039"/>
      <c r="M931" s="1039"/>
      <c r="N931" s="1039"/>
      <c r="O931" s="1039"/>
    </row>
    <row r="932" spans="1:15" ht="12.75" customHeight="1">
      <c r="A932" s="373" t="s">
        <v>11</v>
      </c>
      <c r="B932" s="374" t="s">
        <v>13</v>
      </c>
      <c r="C932" s="1007" t="s">
        <v>1443</v>
      </c>
      <c r="D932" s="1007"/>
      <c r="E932" s="1007"/>
      <c r="F932" s="1007"/>
      <c r="G932" s="374" t="s">
        <v>15</v>
      </c>
      <c r="H932" s="375" t="s">
        <v>1444</v>
      </c>
      <c r="I932" s="106" t="s">
        <v>1445</v>
      </c>
      <c r="J932" s="106" t="s">
        <v>1446</v>
      </c>
      <c r="K932" s="375" t="s">
        <v>1447</v>
      </c>
      <c r="L932" s="375" t="s">
        <v>1448</v>
      </c>
      <c r="M932" s="374" t="s">
        <v>1457</v>
      </c>
      <c r="N932" s="375" t="s">
        <v>1450</v>
      </c>
      <c r="O932" s="375" t="s">
        <v>1451</v>
      </c>
    </row>
    <row r="933" spans="1:15" ht="59.25" customHeight="1">
      <c r="A933" s="377">
        <f>ORÇAMENTO!A107</f>
        <v>103328</v>
      </c>
      <c r="B933" s="377" t="str">
        <f>ORÇAMENTO!C107</f>
        <v>6.01.01</v>
      </c>
      <c r="C933" s="1004" t="str">
        <f>ORÇAMENTO!D107</f>
        <v>ALVENARIA DE VEDAÇÃO DE BLOCOS CERÂMICOS FURADOS NA HORIZONTAL DE 9X19X19 CM (ESPESSURA 9 CM) E ARGAMASSA DE ASSENTAMENTO COM PREPARO EM BETONEIRA. AF_12/2021</v>
      </c>
      <c r="D933" s="1004"/>
      <c r="E933" s="1004"/>
      <c r="F933" s="1004"/>
      <c r="G933" s="425" t="s">
        <v>61</v>
      </c>
      <c r="H933" s="383"/>
      <c r="I933" s="380"/>
      <c r="J933" s="380"/>
      <c r="K933" s="115"/>
      <c r="L933" s="115"/>
      <c r="M933" s="115"/>
      <c r="N933" s="116">
        <f>SUM(N935:N979)</f>
        <v>1739.8252769999997</v>
      </c>
      <c r="O933" s="116"/>
    </row>
    <row r="934" spans="1:15">
      <c r="A934" s="342"/>
      <c r="B934" s="342"/>
      <c r="C934" s="1008" t="s">
        <v>1812</v>
      </c>
      <c r="D934" s="1008"/>
      <c r="E934" s="1008"/>
      <c r="F934" s="1008"/>
      <c r="G934" s="426"/>
      <c r="H934" s="422"/>
      <c r="I934" s="400"/>
      <c r="J934" s="400"/>
      <c r="K934" s="123"/>
      <c r="L934" s="123"/>
      <c r="M934" s="123"/>
      <c r="N934" s="308"/>
      <c r="O934" s="124"/>
    </row>
    <row r="935" spans="1:15" s="109" customFormat="1" ht="12.75" customHeight="1">
      <c r="A935" s="342"/>
      <c r="B935" s="342"/>
      <c r="C935" s="1027" t="s">
        <v>1813</v>
      </c>
      <c r="D935" s="1027"/>
      <c r="E935" s="1027"/>
      <c r="F935" s="1027"/>
      <c r="G935" s="426" t="s">
        <v>61</v>
      </c>
      <c r="H935" s="422">
        <v>1.1000000000000001</v>
      </c>
      <c r="I935" s="400"/>
      <c r="J935" s="400"/>
      <c r="K935" s="123">
        <v>6.35</v>
      </c>
      <c r="L935" s="123">
        <f>17.68+3.35+12.55+4.2+20.7+1.4+3.9+1.1+2.05+3.6+1.612+11.935+2.5036+5.3+12.3+5.3+3.05+5.8+15.48+4.84+6.35</f>
        <v>145.00059999999996</v>
      </c>
      <c r="M935" s="123"/>
      <c r="N935" s="308">
        <f>(L935*K935)-M935</f>
        <v>920.7538099999997</v>
      </c>
      <c r="O935" s="124"/>
    </row>
    <row r="936" spans="1:15" s="109" customFormat="1" ht="12.75" customHeight="1">
      <c r="A936" s="342"/>
      <c r="B936" s="342"/>
      <c r="C936" s="1027" t="s">
        <v>1814</v>
      </c>
      <c r="D936" s="1027"/>
      <c r="E936" s="1027"/>
      <c r="F936" s="1027"/>
      <c r="G936" s="426" t="s">
        <v>61</v>
      </c>
      <c r="H936" s="422">
        <v>1.1000000000000001</v>
      </c>
      <c r="I936" s="400"/>
      <c r="J936" s="400"/>
      <c r="K936" s="123">
        <v>3.35</v>
      </c>
      <c r="L936" s="123">
        <f>4.4+1.97</f>
        <v>6.37</v>
      </c>
      <c r="M936" s="123">
        <f>(0.8*2.1)+(0.8*2.1)+(1.2*2.1)+(1.8*2.4)</f>
        <v>10.200000000000001</v>
      </c>
      <c r="N936" s="308">
        <f t="shared" ref="N936:N979" si="33">(L936*K936)-M936</f>
        <v>11.1395</v>
      </c>
      <c r="O936" s="124"/>
    </row>
    <row r="937" spans="1:15" s="109" customFormat="1" ht="12.75" customHeight="1">
      <c r="A937" s="342"/>
      <c r="B937" s="342"/>
      <c r="C937" s="1027" t="s">
        <v>1815</v>
      </c>
      <c r="D937" s="1027"/>
      <c r="E937" s="1027"/>
      <c r="F937" s="1027"/>
      <c r="G937" s="426" t="s">
        <v>61</v>
      </c>
      <c r="H937" s="422">
        <v>1.1000000000000001</v>
      </c>
      <c r="I937" s="400"/>
      <c r="J937" s="400"/>
      <c r="K937" s="123">
        <v>3.35</v>
      </c>
      <c r="L937" s="123">
        <f>3.75+3.2</f>
        <v>6.95</v>
      </c>
      <c r="M937" s="123">
        <f>(0.8*2.1)+(1.46*1.5)+(2*0.5)</f>
        <v>4.87</v>
      </c>
      <c r="N937" s="308">
        <f t="shared" si="33"/>
        <v>18.412500000000001</v>
      </c>
      <c r="O937" s="124"/>
    </row>
    <row r="938" spans="1:15" s="109" customFormat="1" ht="12.75" customHeight="1">
      <c r="A938" s="342"/>
      <c r="B938" s="342"/>
      <c r="C938" s="1027" t="s">
        <v>1816</v>
      </c>
      <c r="D938" s="1027"/>
      <c r="E938" s="1027"/>
      <c r="F938" s="1027"/>
      <c r="G938" s="426" t="s">
        <v>61</v>
      </c>
      <c r="H938" s="422">
        <v>1.1000000000000001</v>
      </c>
      <c r="I938" s="400"/>
      <c r="J938" s="400"/>
      <c r="K938" s="123">
        <v>3.35</v>
      </c>
      <c r="L938" s="123">
        <f>3.2+2.11</f>
        <v>5.3100000000000005</v>
      </c>
      <c r="M938" s="123">
        <f>(2*0.5)+(0.8*2.1)</f>
        <v>2.68</v>
      </c>
      <c r="N938" s="308">
        <f t="shared" si="33"/>
        <v>15.108500000000003</v>
      </c>
      <c r="O938" s="124"/>
    </row>
    <row r="939" spans="1:15" s="109" customFormat="1" ht="12.75" customHeight="1">
      <c r="A939" s="342"/>
      <c r="B939" s="342"/>
      <c r="C939" s="1027" t="s">
        <v>1817</v>
      </c>
      <c r="D939" s="1027"/>
      <c r="E939" s="1027"/>
      <c r="F939" s="1027"/>
      <c r="G939" s="426" t="s">
        <v>61</v>
      </c>
      <c r="H939" s="422">
        <v>1.1000000000000001</v>
      </c>
      <c r="I939" s="400"/>
      <c r="J939" s="400"/>
      <c r="K939" s="123">
        <v>3.35</v>
      </c>
      <c r="L939" s="123">
        <f>3.2+2.11+3.2</f>
        <v>8.5100000000000016</v>
      </c>
      <c r="M939" s="123">
        <f>(2*0.5)+(0.8*2.1)</f>
        <v>2.68</v>
      </c>
      <c r="N939" s="308">
        <f t="shared" si="33"/>
        <v>25.828500000000005</v>
      </c>
      <c r="O939" s="124"/>
    </row>
    <row r="940" spans="1:15" s="109" customFormat="1" ht="12.75" customHeight="1">
      <c r="A940" s="342"/>
      <c r="B940" s="342"/>
      <c r="C940" s="1027" t="s">
        <v>1818</v>
      </c>
      <c r="D940" s="1027"/>
      <c r="E940" s="1027"/>
      <c r="F940" s="1027"/>
      <c r="G940" s="426" t="s">
        <v>61</v>
      </c>
      <c r="H940" s="422">
        <v>1.1000000000000001</v>
      </c>
      <c r="I940" s="400"/>
      <c r="J940" s="400"/>
      <c r="K940" s="123">
        <v>3.35</v>
      </c>
      <c r="L940" s="123">
        <f>1.475+1.85</f>
        <v>3.3250000000000002</v>
      </c>
      <c r="M940" s="123">
        <f>2*(0.7*2.1)</f>
        <v>2.94</v>
      </c>
      <c r="N940" s="308">
        <f t="shared" si="33"/>
        <v>8.1987500000000022</v>
      </c>
      <c r="O940" s="124"/>
    </row>
    <row r="941" spans="1:15" s="109" customFormat="1" ht="12.75" customHeight="1">
      <c r="A941" s="342"/>
      <c r="B941" s="342"/>
      <c r="C941" s="1027" t="s">
        <v>1819</v>
      </c>
      <c r="D941" s="1027"/>
      <c r="E941" s="1027"/>
      <c r="F941" s="1027"/>
      <c r="G941" s="426" t="s">
        <v>61</v>
      </c>
      <c r="H941" s="422">
        <v>1.1000000000000001</v>
      </c>
      <c r="I941" s="400"/>
      <c r="J941" s="400"/>
      <c r="K941" s="123">
        <v>3.35</v>
      </c>
      <c r="L941" s="123">
        <f>2.85+1.2</f>
        <v>4.05</v>
      </c>
      <c r="M941" s="123">
        <f>1*0.5</f>
        <v>0.5</v>
      </c>
      <c r="N941" s="308">
        <f t="shared" si="33"/>
        <v>13.067499999999999</v>
      </c>
      <c r="O941" s="124"/>
    </row>
    <row r="942" spans="1:15" s="109" customFormat="1" ht="12.75" customHeight="1">
      <c r="A942" s="342"/>
      <c r="B942" s="342"/>
      <c r="C942" s="1027" t="s">
        <v>1820</v>
      </c>
      <c r="D942" s="1027"/>
      <c r="E942" s="1027"/>
      <c r="F942" s="1027"/>
      <c r="G942" s="426" t="s">
        <v>61</v>
      </c>
      <c r="H942" s="422">
        <v>1.1000000000000001</v>
      </c>
      <c r="I942" s="400"/>
      <c r="J942" s="400"/>
      <c r="K942" s="123">
        <v>3.35</v>
      </c>
      <c r="L942" s="123">
        <f>5.965</f>
        <v>5.9649999999999999</v>
      </c>
      <c r="M942" s="123">
        <f>2*(2*0.5)+(0.8*2.1)+(1.6*2.1)</f>
        <v>7.0400000000000009</v>
      </c>
      <c r="N942" s="308">
        <f t="shared" si="33"/>
        <v>12.942749999999998</v>
      </c>
      <c r="O942" s="124"/>
    </row>
    <row r="943" spans="1:15" s="109" customFormat="1" ht="12.75" customHeight="1">
      <c r="A943" s="342"/>
      <c r="B943" s="342"/>
      <c r="C943" s="1027" t="s">
        <v>1821</v>
      </c>
      <c r="D943" s="1027"/>
      <c r="E943" s="1027"/>
      <c r="F943" s="1027"/>
      <c r="G943" s="426" t="s">
        <v>61</v>
      </c>
      <c r="H943" s="422">
        <v>1.1000000000000001</v>
      </c>
      <c r="I943" s="400"/>
      <c r="J943" s="400"/>
      <c r="K943" s="123">
        <v>3.35</v>
      </c>
      <c r="L943" s="123">
        <f>1.25+2.553+1.75+4.99</f>
        <v>10.542999999999999</v>
      </c>
      <c r="M943" s="123">
        <f>(0.8*2.1)+(2*0.5)</f>
        <v>2.68</v>
      </c>
      <c r="N943" s="308">
        <f t="shared" si="33"/>
        <v>32.639049999999997</v>
      </c>
      <c r="O943" s="124"/>
    </row>
    <row r="944" spans="1:15" s="109" customFormat="1" ht="12.75" customHeight="1">
      <c r="A944" s="342"/>
      <c r="B944" s="342"/>
      <c r="C944" s="1027" t="s">
        <v>1822</v>
      </c>
      <c r="D944" s="1027"/>
      <c r="E944" s="1027"/>
      <c r="F944" s="1027"/>
      <c r="G944" s="426" t="s">
        <v>61</v>
      </c>
      <c r="H944" s="422">
        <v>1.1000000000000001</v>
      </c>
      <c r="I944" s="400"/>
      <c r="J944" s="400"/>
      <c r="K944" s="123">
        <v>3.35</v>
      </c>
      <c r="L944" s="123">
        <f>4.84</f>
        <v>4.84</v>
      </c>
      <c r="M944" s="123">
        <f>2*(1.46*1.5)+(0.8*2.1)</f>
        <v>6.0600000000000005</v>
      </c>
      <c r="N944" s="308">
        <f t="shared" si="33"/>
        <v>10.153999999999998</v>
      </c>
      <c r="O944" s="124"/>
    </row>
    <row r="945" spans="1:15" s="109" customFormat="1" ht="12.75" customHeight="1">
      <c r="A945" s="342"/>
      <c r="B945" s="342"/>
      <c r="C945" s="1027" t="s">
        <v>1823</v>
      </c>
      <c r="D945" s="1027"/>
      <c r="E945" s="1027"/>
      <c r="F945" s="1027"/>
      <c r="G945" s="426" t="s">
        <v>61</v>
      </c>
      <c r="H945" s="422">
        <v>1.1000000000000001</v>
      </c>
      <c r="I945" s="400"/>
      <c r="J945" s="400"/>
      <c r="K945" s="123">
        <v>3.35</v>
      </c>
      <c r="L945" s="123">
        <f>1.45+1.9</f>
        <v>3.3499999999999996</v>
      </c>
      <c r="M945" s="309">
        <f>(0.7*2.1)+(1*0.5)</f>
        <v>1.97</v>
      </c>
      <c r="N945" s="308">
        <f t="shared" si="33"/>
        <v>9.2524999999999977</v>
      </c>
      <c r="O945" s="124"/>
    </row>
    <row r="946" spans="1:15" s="109" customFormat="1" ht="12.75" customHeight="1">
      <c r="A946" s="342"/>
      <c r="B946" s="342"/>
      <c r="C946" s="1027" t="s">
        <v>1824</v>
      </c>
      <c r="D946" s="1027"/>
      <c r="E946" s="1027"/>
      <c r="F946" s="1027"/>
      <c r="G946" s="426" t="s">
        <v>61</v>
      </c>
      <c r="H946" s="422">
        <v>1.1000000000000001</v>
      </c>
      <c r="I946" s="400"/>
      <c r="J946" s="400"/>
      <c r="K946" s="123">
        <v>3.35</v>
      </c>
      <c r="L946" s="123">
        <f>5.33</f>
        <v>5.33</v>
      </c>
      <c r="M946" s="309">
        <f>(0.8*2.1)+(1.46*1.5)</f>
        <v>3.87</v>
      </c>
      <c r="N946" s="308">
        <f t="shared" si="33"/>
        <v>13.985499999999998</v>
      </c>
      <c r="O946" s="124"/>
    </row>
    <row r="947" spans="1:15" s="109" customFormat="1" ht="12.75" customHeight="1">
      <c r="A947" s="342"/>
      <c r="B947" s="342"/>
      <c r="C947" s="1027" t="s">
        <v>1825</v>
      </c>
      <c r="D947" s="1027"/>
      <c r="E947" s="1027"/>
      <c r="F947" s="1027"/>
      <c r="G947" s="426" t="s">
        <v>61</v>
      </c>
      <c r="H947" s="422">
        <v>1.1000000000000001</v>
      </c>
      <c r="I947" s="400"/>
      <c r="J947" s="400"/>
      <c r="K947" s="123">
        <v>3.35</v>
      </c>
      <c r="L947" s="123">
        <f>5.35+5.95</f>
        <v>11.3</v>
      </c>
      <c r="M947" s="309">
        <f>3*(2.1*0.8)+(2.6*0.5)</f>
        <v>6.3400000000000007</v>
      </c>
      <c r="N947" s="308">
        <f t="shared" si="33"/>
        <v>31.515000000000004</v>
      </c>
      <c r="O947" s="124"/>
    </row>
    <row r="948" spans="1:15" s="109" customFormat="1" ht="12.75" customHeight="1">
      <c r="A948" s="342"/>
      <c r="B948" s="342"/>
      <c r="C948" s="1027" t="s">
        <v>1826</v>
      </c>
      <c r="D948" s="1027"/>
      <c r="E948" s="1027"/>
      <c r="F948" s="1027"/>
      <c r="G948" s="426" t="s">
        <v>61</v>
      </c>
      <c r="H948" s="422">
        <v>1.1000000000000001</v>
      </c>
      <c r="I948" s="400"/>
      <c r="J948" s="400"/>
      <c r="K948" s="123">
        <v>3.35</v>
      </c>
      <c r="L948" s="123">
        <f>2.05+2.7</f>
        <v>4.75</v>
      </c>
      <c r="M948" s="309">
        <f>(1*0.4)+(0.94*1)+(0.8*2.1)</f>
        <v>3.02</v>
      </c>
      <c r="N948" s="308">
        <f t="shared" si="33"/>
        <v>12.8925</v>
      </c>
      <c r="O948" s="124"/>
    </row>
    <row r="949" spans="1:15" s="109" customFormat="1" ht="12.75" customHeight="1">
      <c r="A949" s="342"/>
      <c r="B949" s="342"/>
      <c r="C949" s="1027" t="s">
        <v>1827</v>
      </c>
      <c r="D949" s="1027"/>
      <c r="E949" s="1027"/>
      <c r="F949" s="1027"/>
      <c r="G949" s="426" t="s">
        <v>61</v>
      </c>
      <c r="H949" s="422">
        <v>1.1000000000000001</v>
      </c>
      <c r="I949" s="400"/>
      <c r="J949" s="400"/>
      <c r="K949" s="123">
        <v>3.35</v>
      </c>
      <c r="L949" s="123">
        <f>1.9+2.7</f>
        <v>4.5999999999999996</v>
      </c>
      <c r="M949" s="309">
        <f>(2.1*0.8)+(2.65*1)</f>
        <v>4.33</v>
      </c>
      <c r="N949" s="308">
        <f t="shared" si="33"/>
        <v>11.079999999999998</v>
      </c>
      <c r="O949" s="124"/>
    </row>
    <row r="950" spans="1:15" s="109" customFormat="1">
      <c r="A950" s="342"/>
      <c r="B950" s="342"/>
      <c r="C950" s="1027" t="s">
        <v>1828</v>
      </c>
      <c r="D950" s="1027"/>
      <c r="E950" s="1027"/>
      <c r="F950" s="1027"/>
      <c r="G950" s="426" t="s">
        <v>61</v>
      </c>
      <c r="H950" s="422">
        <v>1.1000000000000001</v>
      </c>
      <c r="I950" s="400"/>
      <c r="J950" s="400"/>
      <c r="K950" s="123">
        <v>3.35</v>
      </c>
      <c r="L950" s="123">
        <f>1.9+2.7</f>
        <v>4.5999999999999996</v>
      </c>
      <c r="M950" s="309">
        <f>2.1*0.8</f>
        <v>1.6800000000000002</v>
      </c>
      <c r="N950" s="308">
        <f t="shared" si="33"/>
        <v>13.729999999999999</v>
      </c>
      <c r="O950" s="124"/>
    </row>
    <row r="951" spans="1:15" s="109" customFormat="1">
      <c r="A951" s="342"/>
      <c r="B951" s="342"/>
      <c r="C951" s="1027" t="s">
        <v>1829</v>
      </c>
      <c r="D951" s="1027"/>
      <c r="E951" s="1027"/>
      <c r="F951" s="1027"/>
      <c r="G951" s="426" t="s">
        <v>61</v>
      </c>
      <c r="H951" s="422">
        <v>1.1000000000000001</v>
      </c>
      <c r="I951" s="400"/>
      <c r="J951" s="400"/>
      <c r="K951" s="123">
        <v>3.35</v>
      </c>
      <c r="L951" s="123">
        <f>1.275</f>
        <v>1.2749999999999999</v>
      </c>
      <c r="M951" s="309">
        <f>2.1*0.8</f>
        <v>1.6800000000000002</v>
      </c>
      <c r="N951" s="308">
        <f t="shared" si="33"/>
        <v>2.5912500000000001</v>
      </c>
      <c r="O951" s="124"/>
    </row>
    <row r="952" spans="1:15" s="109" customFormat="1">
      <c r="A952" s="342"/>
      <c r="B952" s="342"/>
      <c r="C952" s="1027" t="s">
        <v>1830</v>
      </c>
      <c r="D952" s="1027"/>
      <c r="E952" s="1027"/>
      <c r="F952" s="1027"/>
      <c r="G952" s="426" t="s">
        <v>61</v>
      </c>
      <c r="H952" s="422">
        <v>2.1</v>
      </c>
      <c r="I952" s="400"/>
      <c r="J952" s="400"/>
      <c r="K952" s="123">
        <v>3.35</v>
      </c>
      <c r="L952" s="123">
        <v>7.05</v>
      </c>
      <c r="M952" s="309">
        <f>2*(2.1*0.8)+(0.5*2.6)</f>
        <v>4.66</v>
      </c>
      <c r="N952" s="308">
        <f t="shared" si="33"/>
        <v>18.9575</v>
      </c>
      <c r="O952" s="124"/>
    </row>
    <row r="953" spans="1:15" s="109" customFormat="1" ht="12.75" customHeight="1">
      <c r="A953" s="342"/>
      <c r="B953" s="342"/>
      <c r="C953" s="1027" t="s">
        <v>1831</v>
      </c>
      <c r="D953" s="1027"/>
      <c r="E953" s="1027"/>
      <c r="F953" s="1027"/>
      <c r="G953" s="426" t="s">
        <v>61</v>
      </c>
      <c r="H953" s="422">
        <v>1.1000000000000001</v>
      </c>
      <c r="I953" s="400"/>
      <c r="J953" s="400"/>
      <c r="K953" s="123">
        <v>3.35</v>
      </c>
      <c r="L953" s="123">
        <f>10+13.7+10.15</f>
        <v>33.85</v>
      </c>
      <c r="M953" s="309">
        <f>3*(2.6*0.5)+(1.6*2.1)</f>
        <v>7.2600000000000007</v>
      </c>
      <c r="N953" s="308">
        <f t="shared" si="33"/>
        <v>106.1375</v>
      </c>
      <c r="O953" s="124"/>
    </row>
    <row r="954" spans="1:15" s="109" customFormat="1" ht="12.75" customHeight="1">
      <c r="A954" s="342"/>
      <c r="B954" s="342"/>
      <c r="C954" s="1027" t="s">
        <v>1832</v>
      </c>
      <c r="D954" s="1027"/>
      <c r="E954" s="1027"/>
      <c r="F954" s="1027"/>
      <c r="G954" s="426" t="s">
        <v>61</v>
      </c>
      <c r="H954" s="422">
        <v>1.1000000000000001</v>
      </c>
      <c r="I954" s="400"/>
      <c r="J954" s="400"/>
      <c r="K954" s="123">
        <v>3.35</v>
      </c>
      <c r="L954" s="123">
        <f>1.7705+1.25</f>
        <v>3.0205000000000002</v>
      </c>
      <c r="M954" s="309">
        <f>(0.7*2.1)*(1*0.5)</f>
        <v>0.73499999999999999</v>
      </c>
      <c r="N954" s="308">
        <f t="shared" si="33"/>
        <v>9.383675000000002</v>
      </c>
      <c r="O954" s="124"/>
    </row>
    <row r="955" spans="1:15" s="109" customFormat="1" ht="12.75" customHeight="1">
      <c r="A955" s="342"/>
      <c r="B955" s="342"/>
      <c r="C955" s="1027" t="s">
        <v>1833</v>
      </c>
      <c r="D955" s="1027"/>
      <c r="E955" s="1027"/>
      <c r="F955" s="1027"/>
      <c r="G955" s="426" t="s">
        <v>61</v>
      </c>
      <c r="H955" s="422">
        <v>1.1000000000000001</v>
      </c>
      <c r="I955" s="400"/>
      <c r="J955" s="400"/>
      <c r="K955" s="123">
        <v>3.35</v>
      </c>
      <c r="L955" s="123">
        <v>1.95</v>
      </c>
      <c r="M955" s="309">
        <f>(0.7*2.1)*(1*0.5)</f>
        <v>0.73499999999999999</v>
      </c>
      <c r="N955" s="308">
        <f t="shared" si="33"/>
        <v>5.7974999999999994</v>
      </c>
      <c r="O955" s="124"/>
    </row>
    <row r="956" spans="1:15" s="109" customFormat="1" ht="12.75" customHeight="1">
      <c r="A956" s="342"/>
      <c r="B956" s="342"/>
      <c r="C956" s="1027" t="s">
        <v>1834</v>
      </c>
      <c r="D956" s="1027"/>
      <c r="E956" s="1027"/>
      <c r="F956" s="1027"/>
      <c r="G956" s="426" t="s">
        <v>61</v>
      </c>
      <c r="H956" s="422">
        <v>1.1000000000000001</v>
      </c>
      <c r="I956" s="400"/>
      <c r="J956" s="400"/>
      <c r="K956" s="123">
        <v>3.35</v>
      </c>
      <c r="L956" s="123">
        <f>3.9+1.8</f>
        <v>5.7</v>
      </c>
      <c r="M956" s="309">
        <f>0.8*2.1</f>
        <v>1.6800000000000002</v>
      </c>
      <c r="N956" s="308">
        <f t="shared" si="33"/>
        <v>17.415000000000003</v>
      </c>
      <c r="O956" s="124"/>
    </row>
    <row r="957" spans="1:15" s="109" customFormat="1" ht="12.75" customHeight="1">
      <c r="A957" s="342"/>
      <c r="B957" s="342"/>
      <c r="C957" s="1027" t="s">
        <v>1835</v>
      </c>
      <c r="D957" s="1027"/>
      <c r="E957" s="1027"/>
      <c r="F957" s="1027"/>
      <c r="G957" s="426" t="s">
        <v>61</v>
      </c>
      <c r="H957" s="422">
        <v>1.1000000000000001</v>
      </c>
      <c r="I957" s="400"/>
      <c r="J957" s="400"/>
      <c r="K957" s="123">
        <v>3.35</v>
      </c>
      <c r="L957" s="123">
        <f>3.9+1.8</f>
        <v>5.7</v>
      </c>
      <c r="M957" s="309">
        <f>0.8*2.1</f>
        <v>1.6800000000000002</v>
      </c>
      <c r="N957" s="308">
        <f t="shared" si="33"/>
        <v>17.415000000000003</v>
      </c>
      <c r="O957" s="124"/>
    </row>
    <row r="958" spans="1:15" s="109" customFormat="1" ht="12.75" customHeight="1">
      <c r="A958" s="342"/>
      <c r="B958" s="342"/>
      <c r="C958" s="1027" t="s">
        <v>1836</v>
      </c>
      <c r="D958" s="1027"/>
      <c r="E958" s="1027"/>
      <c r="F958" s="1027"/>
      <c r="G958" s="426" t="s">
        <v>61</v>
      </c>
      <c r="H958" s="422">
        <v>1.1000000000000001</v>
      </c>
      <c r="I958" s="400"/>
      <c r="J958" s="400"/>
      <c r="K958" s="123">
        <v>3.35</v>
      </c>
      <c r="L958" s="123">
        <f>0.75+5.15</f>
        <v>5.9</v>
      </c>
      <c r="M958" s="309">
        <f>(0.8*2.1)+(1.46*1.5)+(1.8*1.5)</f>
        <v>6.57</v>
      </c>
      <c r="N958" s="308">
        <f t="shared" si="33"/>
        <v>13.195</v>
      </c>
      <c r="O958" s="124"/>
    </row>
    <row r="959" spans="1:15" s="109" customFormat="1" ht="12.75" customHeight="1">
      <c r="A959" s="342"/>
      <c r="B959" s="342"/>
      <c r="C959" s="1027" t="s">
        <v>1837</v>
      </c>
      <c r="D959" s="1027"/>
      <c r="E959" s="1027"/>
      <c r="F959" s="1027"/>
      <c r="G959" s="426" t="s">
        <v>61</v>
      </c>
      <c r="H959" s="422">
        <v>1.1000000000000001</v>
      </c>
      <c r="I959" s="400"/>
      <c r="J959" s="400"/>
      <c r="K959" s="123">
        <v>3.35</v>
      </c>
      <c r="L959" s="123">
        <f>5.15</f>
        <v>5.15</v>
      </c>
      <c r="M959" s="309">
        <f>(1.46*1.5)+(0.8*2.13)</f>
        <v>3.8940000000000001</v>
      </c>
      <c r="N959" s="308">
        <f t="shared" si="33"/>
        <v>13.358500000000001</v>
      </c>
      <c r="O959" s="124"/>
    </row>
    <row r="960" spans="1:15" s="109" customFormat="1" ht="12.75" customHeight="1">
      <c r="A960" s="342"/>
      <c r="B960" s="342"/>
      <c r="C960" s="1027" t="s">
        <v>1838</v>
      </c>
      <c r="D960" s="1027"/>
      <c r="E960" s="1027"/>
      <c r="F960" s="1027"/>
      <c r="G960" s="426" t="s">
        <v>61</v>
      </c>
      <c r="H960" s="422">
        <v>1.1000000000000001</v>
      </c>
      <c r="I960" s="400"/>
      <c r="J960" s="400"/>
      <c r="K960" s="123">
        <v>3.35</v>
      </c>
      <c r="L960" s="123">
        <f>1.85+1.2</f>
        <v>3.05</v>
      </c>
      <c r="M960" s="309">
        <f>(0.7*2.1)+(1*0.5)</f>
        <v>1.97</v>
      </c>
      <c r="N960" s="308">
        <f t="shared" si="33"/>
        <v>8.2474999999999987</v>
      </c>
      <c r="O960" s="124"/>
    </row>
    <row r="961" spans="1:15" s="109" customFormat="1" ht="12.75" customHeight="1">
      <c r="A961" s="342"/>
      <c r="B961" s="342"/>
      <c r="C961" s="1027" t="s">
        <v>1839</v>
      </c>
      <c r="D961" s="1027"/>
      <c r="E961" s="1027"/>
      <c r="F961" s="1027"/>
      <c r="G961" s="426" t="s">
        <v>61</v>
      </c>
      <c r="H961" s="422">
        <v>1.1000000000000001</v>
      </c>
      <c r="I961" s="400"/>
      <c r="J961" s="400"/>
      <c r="K961" s="123">
        <v>3.35</v>
      </c>
      <c r="L961" s="123">
        <f>5.15</f>
        <v>5.15</v>
      </c>
      <c r="M961" s="309">
        <f>(0.8*2.1)+(1.46*1.5)+(0.8*2.1)+(1.46*1.5)</f>
        <v>7.74</v>
      </c>
      <c r="N961" s="308">
        <f t="shared" si="33"/>
        <v>9.5125000000000011</v>
      </c>
      <c r="O961" s="124"/>
    </row>
    <row r="962" spans="1:15" s="109" customFormat="1" ht="12.75" customHeight="1">
      <c r="A962" s="342"/>
      <c r="B962" s="342"/>
      <c r="C962" s="1027" t="s">
        <v>1840</v>
      </c>
      <c r="D962" s="1027"/>
      <c r="E962" s="1027"/>
      <c r="F962" s="1027"/>
      <c r="G962" s="426" t="s">
        <v>61</v>
      </c>
      <c r="H962" s="422">
        <v>1.1000000000000001</v>
      </c>
      <c r="I962" s="400"/>
      <c r="J962" s="400"/>
      <c r="K962" s="123">
        <v>3.35</v>
      </c>
      <c r="L962" s="123">
        <f>1.85+1.2</f>
        <v>3.05</v>
      </c>
      <c r="M962" s="309">
        <f>(0.7*2.1)+(1*0.5)</f>
        <v>1.97</v>
      </c>
      <c r="N962" s="308">
        <f t="shared" si="33"/>
        <v>8.2474999999999987</v>
      </c>
      <c r="O962" s="124"/>
    </row>
    <row r="963" spans="1:15" ht="12.75" customHeight="1">
      <c r="A963" s="342"/>
      <c r="B963" s="342"/>
      <c r="C963" s="1000" t="s">
        <v>1841</v>
      </c>
      <c r="D963" s="1000"/>
      <c r="E963" s="1000"/>
      <c r="F963" s="1000"/>
      <c r="G963" s="426" t="s">
        <v>61</v>
      </c>
      <c r="H963" s="422">
        <v>1.1000000000000001</v>
      </c>
      <c r="I963" s="586"/>
      <c r="J963" s="586"/>
      <c r="K963" s="123">
        <v>3.35</v>
      </c>
      <c r="L963" s="123">
        <f>12.3+8.02</f>
        <v>20.32</v>
      </c>
      <c r="M963" s="587">
        <f>(0.8*2.1)+(3.05*4)+(2.4*4)+(9.6*4)+(2.75*2.5)+(1.63*2.8)+(3.61*2.8)+(1.94*2.8)+(2.2*4)</f>
        <v>97.658999999999992</v>
      </c>
      <c r="N963" s="308">
        <f t="shared" si="33"/>
        <v>-29.586999999999989</v>
      </c>
      <c r="O963" s="592"/>
    </row>
    <row r="964" spans="1:15" ht="12.75" customHeight="1">
      <c r="A964" s="342"/>
      <c r="B964" s="342"/>
      <c r="C964" s="1000" t="s">
        <v>1825</v>
      </c>
      <c r="D964" s="1000"/>
      <c r="E964" s="1000"/>
      <c r="F964" s="1000"/>
      <c r="G964" s="426" t="s">
        <v>61</v>
      </c>
      <c r="H964" s="422">
        <v>2.1</v>
      </c>
      <c r="I964" s="586"/>
      <c r="J964" s="586"/>
      <c r="K964" s="123">
        <v>3.35</v>
      </c>
      <c r="L964" s="123">
        <f>4.35+5.8</f>
        <v>10.149999999999999</v>
      </c>
      <c r="M964" s="587">
        <f>2*(0.8*2.13)+(1.46*1.5)</f>
        <v>5.5979999999999999</v>
      </c>
      <c r="N964" s="308">
        <f t="shared" si="33"/>
        <v>28.404499999999999</v>
      </c>
      <c r="O964" s="592"/>
    </row>
    <row r="965" spans="1:15" ht="12.75" customHeight="1">
      <c r="A965" s="342"/>
      <c r="B965" s="342"/>
      <c r="C965" s="1000" t="s">
        <v>1824</v>
      </c>
      <c r="D965" s="1000"/>
      <c r="E965" s="1000"/>
      <c r="F965" s="1000"/>
      <c r="G965" s="426" t="s">
        <v>61</v>
      </c>
      <c r="H965" s="422">
        <v>3.1</v>
      </c>
      <c r="I965" s="586"/>
      <c r="J965" s="586"/>
      <c r="K965" s="123">
        <v>3.35</v>
      </c>
      <c r="L965" s="123">
        <f>5.33</f>
        <v>5.33</v>
      </c>
      <c r="M965" s="587">
        <f>2*(1.46*1.5)+(0.8*2.1)</f>
        <v>6.0600000000000005</v>
      </c>
      <c r="N965" s="308">
        <f t="shared" si="33"/>
        <v>11.795499999999999</v>
      </c>
      <c r="O965" s="592"/>
    </row>
    <row r="966" spans="1:15" ht="12.75" customHeight="1">
      <c r="A966" s="342"/>
      <c r="B966" s="342"/>
      <c r="C966" s="1000" t="s">
        <v>1822</v>
      </c>
      <c r="D966" s="1000"/>
      <c r="E966" s="1000"/>
      <c r="F966" s="1000"/>
      <c r="G966" s="426" t="s">
        <v>61</v>
      </c>
      <c r="H966" s="422">
        <v>4.0999999999999996</v>
      </c>
      <c r="I966" s="586"/>
      <c r="J966" s="586"/>
      <c r="K966" s="123">
        <v>3.35</v>
      </c>
      <c r="L966" s="123">
        <f>4.84</f>
        <v>4.84</v>
      </c>
      <c r="M966" s="587">
        <f>2*(1.46*1.5)+(0.8*2.1)</f>
        <v>6.0600000000000005</v>
      </c>
      <c r="N966" s="308">
        <f t="shared" si="33"/>
        <v>10.153999999999998</v>
      </c>
      <c r="O966" s="592"/>
    </row>
    <row r="967" spans="1:15" ht="12.75" customHeight="1">
      <c r="A967" s="342"/>
      <c r="B967" s="342"/>
      <c r="C967" s="1000" t="s">
        <v>1823</v>
      </c>
      <c r="D967" s="1000"/>
      <c r="E967" s="1000"/>
      <c r="F967" s="1000"/>
      <c r="G967" s="426" t="s">
        <v>61</v>
      </c>
      <c r="H967" s="422">
        <v>5.0999999999999996</v>
      </c>
      <c r="I967" s="586"/>
      <c r="J967" s="586"/>
      <c r="K967" s="123">
        <v>3.35</v>
      </c>
      <c r="L967" s="123">
        <f>1.9+1.45</f>
        <v>3.3499999999999996</v>
      </c>
      <c r="M967" s="587">
        <f>(1*0.5)+(0.7*2.1)</f>
        <v>1.97</v>
      </c>
      <c r="N967" s="308">
        <f t="shared" si="33"/>
        <v>9.2524999999999977</v>
      </c>
      <c r="O967" s="592"/>
    </row>
    <row r="968" spans="1:15" ht="12.75" customHeight="1">
      <c r="A968" s="342"/>
      <c r="B968" s="342"/>
      <c r="C968" s="1000" t="s">
        <v>1842</v>
      </c>
      <c r="D968" s="1000"/>
      <c r="E968" s="1000"/>
      <c r="F968" s="1000"/>
      <c r="G968" s="426" t="s">
        <v>61</v>
      </c>
      <c r="H968" s="422">
        <v>6.1</v>
      </c>
      <c r="I968" s="586"/>
      <c r="J968" s="586"/>
      <c r="K968" s="123">
        <v>3.35</v>
      </c>
      <c r="L968" s="123">
        <f>9.63+4.22+4.37</f>
        <v>18.220000000000002</v>
      </c>
      <c r="M968" s="587">
        <f>(3.5*1.9)+(1*1)</f>
        <v>7.6499999999999995</v>
      </c>
      <c r="N968" s="308">
        <f t="shared" si="33"/>
        <v>53.387000000000015</v>
      </c>
      <c r="O968" s="592"/>
    </row>
    <row r="969" spans="1:15" ht="12.75" customHeight="1">
      <c r="A969" s="342"/>
      <c r="B969" s="342"/>
      <c r="C969" s="1000" t="s">
        <v>1843</v>
      </c>
      <c r="D969" s="1000"/>
      <c r="E969" s="1000"/>
      <c r="F969" s="1000"/>
      <c r="G969" s="426" t="s">
        <v>61</v>
      </c>
      <c r="H969" s="422">
        <v>7.1</v>
      </c>
      <c r="I969" s="586"/>
      <c r="J969" s="586"/>
      <c r="K969" s="123">
        <v>3.35</v>
      </c>
      <c r="L969" s="123">
        <v>2.65</v>
      </c>
      <c r="M969" s="587">
        <f>2*(2.1*0.8)+(1.91*1.5)</f>
        <v>6.2249999999999996</v>
      </c>
      <c r="N969" s="308">
        <f t="shared" si="33"/>
        <v>2.6524999999999999</v>
      </c>
      <c r="O969" s="592"/>
    </row>
    <row r="970" spans="1:15" ht="12.75" customHeight="1">
      <c r="A970" s="342"/>
      <c r="B970" s="342"/>
      <c r="C970" s="1000" t="s">
        <v>1844</v>
      </c>
      <c r="D970" s="1000"/>
      <c r="E970" s="1000"/>
      <c r="F970" s="1000"/>
      <c r="G970" s="426" t="s">
        <v>61</v>
      </c>
      <c r="H970" s="422">
        <v>8.1</v>
      </c>
      <c r="I970" s="586"/>
      <c r="J970" s="586"/>
      <c r="K970" s="123">
        <v>3.35</v>
      </c>
      <c r="L970" s="123">
        <f>12.58</f>
        <v>12.58</v>
      </c>
      <c r="M970" s="587">
        <f>(2.1*0.8)</f>
        <v>1.6800000000000002</v>
      </c>
      <c r="N970" s="308">
        <f t="shared" si="33"/>
        <v>40.463000000000001</v>
      </c>
      <c r="O970" s="592"/>
    </row>
    <row r="971" spans="1:15" ht="12.75" customHeight="1">
      <c r="A971" s="342"/>
      <c r="B971" s="342"/>
      <c r="C971" s="1000" t="s">
        <v>1843</v>
      </c>
      <c r="D971" s="1000"/>
      <c r="E971" s="1000"/>
      <c r="F971" s="1000"/>
      <c r="G971" s="426" t="s">
        <v>61</v>
      </c>
      <c r="H971" s="422">
        <v>8.1</v>
      </c>
      <c r="I971" s="586"/>
      <c r="J971" s="586"/>
      <c r="K971" s="123">
        <v>3.35</v>
      </c>
      <c r="L971" s="123">
        <f>2.65*2</f>
        <v>5.3</v>
      </c>
      <c r="M971" s="587">
        <f>2*(2.1*0.8)+(1.91*1.5)</f>
        <v>6.2249999999999996</v>
      </c>
      <c r="N971" s="308">
        <f t="shared" si="33"/>
        <v>11.53</v>
      </c>
      <c r="O971" s="592"/>
    </row>
    <row r="972" spans="1:15" ht="12.75" customHeight="1">
      <c r="A972" s="342"/>
      <c r="B972" s="342"/>
      <c r="C972" s="1000" t="s">
        <v>1842</v>
      </c>
      <c r="D972" s="1000"/>
      <c r="E972" s="1000"/>
      <c r="F972" s="1000"/>
      <c r="G972" s="426" t="s">
        <v>61</v>
      </c>
      <c r="H972" s="422">
        <v>8.1</v>
      </c>
      <c r="I972" s="586"/>
      <c r="J972" s="586"/>
      <c r="K972" s="123">
        <v>3.35</v>
      </c>
      <c r="L972" s="123">
        <f>(4.37*2)+9.63+9.705</f>
        <v>28.075000000000003</v>
      </c>
      <c r="M972" s="587">
        <f>(3.5*1.9)+(1*1)</f>
        <v>7.6499999999999995</v>
      </c>
      <c r="N972" s="308">
        <f t="shared" si="33"/>
        <v>86.401250000000005</v>
      </c>
      <c r="O972" s="592"/>
    </row>
    <row r="973" spans="1:15" ht="12.75" customHeight="1">
      <c r="A973" s="342"/>
      <c r="B973" s="342"/>
      <c r="C973" s="1000" t="s">
        <v>1845</v>
      </c>
      <c r="D973" s="1000"/>
      <c r="E973" s="1000"/>
      <c r="F973" s="1000"/>
      <c r="G973" s="426" t="s">
        <v>61</v>
      </c>
      <c r="H973" s="422">
        <v>8.1</v>
      </c>
      <c r="I973" s="586"/>
      <c r="J973" s="586"/>
      <c r="K973" s="123">
        <v>0.2</v>
      </c>
      <c r="L973" s="123">
        <f>(1.9*2)+2.3+4.27</f>
        <v>10.37</v>
      </c>
      <c r="M973" s="587"/>
      <c r="N973" s="308">
        <f t="shared" si="33"/>
        <v>2.0739999999999998</v>
      </c>
      <c r="O973" s="592"/>
    </row>
    <row r="974" spans="1:15" ht="12.75" customHeight="1">
      <c r="A974" s="342"/>
      <c r="B974" s="342"/>
      <c r="C974" s="1000" t="s">
        <v>1846</v>
      </c>
      <c r="D974" s="1000"/>
      <c r="E974" s="1000"/>
      <c r="F974" s="1000"/>
      <c r="G974" s="426" t="s">
        <v>61</v>
      </c>
      <c r="H974" s="422"/>
      <c r="I974" s="582"/>
      <c r="J974" s="582"/>
      <c r="K974" s="117">
        <v>0.65</v>
      </c>
      <c r="L974" s="117">
        <v>59.39</v>
      </c>
      <c r="M974" s="583"/>
      <c r="N974" s="118">
        <f>L974*K974</f>
        <v>38.603500000000004</v>
      </c>
      <c r="O974" s="592"/>
    </row>
    <row r="975" spans="1:15" ht="12.75" customHeight="1">
      <c r="A975" s="342"/>
      <c r="B975" s="342"/>
      <c r="C975" s="1000" t="s">
        <v>1570</v>
      </c>
      <c r="D975" s="1000"/>
      <c r="E975" s="1000"/>
      <c r="F975" s="1000"/>
      <c r="G975" s="338" t="s">
        <v>61</v>
      </c>
      <c r="H975" s="422">
        <v>8.1</v>
      </c>
      <c r="I975" s="582"/>
      <c r="J975" s="582"/>
      <c r="K975" s="117">
        <v>1</v>
      </c>
      <c r="L975" s="117">
        <f>4.031542+2.4+4.1315+4.8408+0.1+3.4468+3.4784+4.3473+4.3789</f>
        <v>31.155242000000001</v>
      </c>
      <c r="M975" s="583"/>
      <c r="N975" s="118">
        <f t="shared" si="33"/>
        <v>31.155242000000001</v>
      </c>
      <c r="O975" s="592"/>
    </row>
    <row r="976" spans="1:15" ht="12.75" customHeight="1">
      <c r="A976" s="342"/>
      <c r="B976" s="342"/>
      <c r="C976" s="1000" t="s">
        <v>1571</v>
      </c>
      <c r="D976" s="1000"/>
      <c r="E976" s="1000"/>
      <c r="F976" s="1000"/>
      <c r="G976" s="338" t="s">
        <v>61</v>
      </c>
      <c r="H976" s="422"/>
      <c r="I976" s="582"/>
      <c r="J976" s="582"/>
      <c r="K976" s="117">
        <v>1</v>
      </c>
      <c r="L976" s="117">
        <f>3.4277+3.835+1.75+1.75+3.835+2.0278</f>
        <v>16.625499999999999</v>
      </c>
      <c r="M976" s="583"/>
      <c r="N976" s="118">
        <f t="shared" si="33"/>
        <v>16.625499999999999</v>
      </c>
      <c r="O976" s="592"/>
    </row>
    <row r="977" spans="1:15" ht="12.75" customHeight="1">
      <c r="A977" s="342"/>
      <c r="B977" s="342"/>
      <c r="C977" s="1000" t="s">
        <v>1572</v>
      </c>
      <c r="D977" s="1000"/>
      <c r="E977" s="1000"/>
      <c r="F977" s="1000"/>
      <c r="G977" s="338" t="s">
        <v>61</v>
      </c>
      <c r="H977" s="422">
        <v>8.1</v>
      </c>
      <c r="I977" s="582"/>
      <c r="J977" s="582"/>
      <c r="K977" s="117">
        <v>1</v>
      </c>
      <c r="L977" s="117">
        <f>9.15+2.8+8.05+0.07+5.35</f>
        <v>25.42</v>
      </c>
      <c r="M977" s="583"/>
      <c r="N977" s="118">
        <f t="shared" si="33"/>
        <v>25.42</v>
      </c>
      <c r="O977" s="592"/>
    </row>
    <row r="978" spans="1:15" ht="12.75" customHeight="1">
      <c r="A978" s="342"/>
      <c r="B978" s="342"/>
      <c r="C978" s="1000" t="s">
        <v>1573</v>
      </c>
      <c r="D978" s="1000"/>
      <c r="E978" s="1000"/>
      <c r="F978" s="1000"/>
      <c r="G978" s="338" t="s">
        <v>61</v>
      </c>
      <c r="H978" s="422">
        <v>8.1</v>
      </c>
      <c r="I978" s="582"/>
      <c r="J978" s="582"/>
      <c r="K978" s="117">
        <v>1</v>
      </c>
      <c r="L978" s="117">
        <f>7</f>
        <v>7</v>
      </c>
      <c r="M978" s="583"/>
      <c r="N978" s="118">
        <f t="shared" si="33"/>
        <v>7</v>
      </c>
      <c r="O978" s="592"/>
    </row>
    <row r="979" spans="1:15" ht="12.75" customHeight="1">
      <c r="A979" s="342"/>
      <c r="B979" s="342"/>
      <c r="C979" s="1000" t="s">
        <v>1574</v>
      </c>
      <c r="D979" s="1000"/>
      <c r="E979" s="1000"/>
      <c r="F979" s="1000"/>
      <c r="G979" s="338" t="s">
        <v>61</v>
      </c>
      <c r="H979" s="422">
        <v>8.1</v>
      </c>
      <c r="I979" s="582"/>
      <c r="J979" s="582"/>
      <c r="K979" s="117">
        <v>1</v>
      </c>
      <c r="L979" s="117">
        <f>0.835+2.7</f>
        <v>3.5350000000000001</v>
      </c>
      <c r="M979" s="583"/>
      <c r="N979" s="118">
        <f t="shared" si="33"/>
        <v>3.5350000000000001</v>
      </c>
      <c r="O979" s="592"/>
    </row>
    <row r="980" spans="1:15" ht="38.25" customHeight="1">
      <c r="A980" s="378">
        <f>ORÇAMENTO!A108</f>
        <v>101161</v>
      </c>
      <c r="B980" s="377" t="str">
        <f>ORÇAMENTO!C108</f>
        <v>6.01.02</v>
      </c>
      <c r="C980" s="1004" t="str">
        <f>ORÇAMENTO!D108</f>
        <v>ALVENARIA DE VEDAÇÃO COM ELEMENTO VAZADO DE CONCRETO (COBOGÓ) DE 7X50X50CM E ARGAMASSA DE ASSENTAMENTO COM PREPARO EM BETONEIRA. AF_05/2020</v>
      </c>
      <c r="D980" s="1004"/>
      <c r="E980" s="1004"/>
      <c r="F980" s="1004"/>
      <c r="G980" s="377" t="str">
        <f>ORÇAMENTO!E108</f>
        <v>M²</v>
      </c>
      <c r="H980" s="377"/>
      <c r="I980" s="379"/>
      <c r="J980" s="379"/>
      <c r="K980" s="379"/>
      <c r="L980" s="380"/>
      <c r="M980" s="379"/>
      <c r="N980" s="380">
        <f>SUM(N981:N981)</f>
        <v>8.6562000000000001</v>
      </c>
      <c r="O980" s="379"/>
    </row>
    <row r="981" spans="1:15" s="109" customFormat="1" ht="14.25" customHeight="1">
      <c r="A981" s="342"/>
      <c r="B981" s="342"/>
      <c r="C981" s="1024" t="s">
        <v>1847</v>
      </c>
      <c r="D981" s="1024"/>
      <c r="E981" s="1024"/>
      <c r="F981" s="1024"/>
      <c r="G981" s="343" t="s">
        <v>61</v>
      </c>
      <c r="H981" s="585">
        <v>2</v>
      </c>
      <c r="I981" s="586"/>
      <c r="J981" s="586">
        <v>1.8</v>
      </c>
      <c r="K981" s="587">
        <v>2.4045000000000001</v>
      </c>
      <c r="L981" s="587"/>
      <c r="M981" s="427"/>
      <c r="N981" s="428">
        <f>J981*K981*H981</f>
        <v>8.6562000000000001</v>
      </c>
      <c r="O981" s="592"/>
    </row>
    <row r="982" spans="1:15" ht="38.25" customHeight="1">
      <c r="A982" s="378">
        <f>ORÇAMENTO!A109</f>
        <v>2376</v>
      </c>
      <c r="B982" s="377" t="str">
        <f>ORÇAMENTO!C109</f>
        <v>6.01.03</v>
      </c>
      <c r="C982" s="1004" t="s">
        <v>1848</v>
      </c>
      <c r="D982" s="1004"/>
      <c r="E982" s="1004"/>
      <c r="F982" s="1004"/>
      <c r="G982" s="377" t="s">
        <v>61</v>
      </c>
      <c r="H982" s="377"/>
      <c r="I982" s="379"/>
      <c r="J982" s="379"/>
      <c r="K982" s="379"/>
      <c r="L982" s="380"/>
      <c r="M982" s="379"/>
      <c r="N982" s="380">
        <f>SUM(N983:N988)</f>
        <v>607.04717000000005</v>
      </c>
      <c r="O982" s="379"/>
    </row>
    <row r="983" spans="1:15" s="109" customFormat="1" ht="14.25" customHeight="1">
      <c r="A983" s="342"/>
      <c r="B983" s="342"/>
      <c r="C983" s="1000" t="s">
        <v>1849</v>
      </c>
      <c r="D983" s="1000"/>
      <c r="E983" s="1000"/>
      <c r="F983" s="1000"/>
      <c r="G983" s="338" t="s">
        <v>61</v>
      </c>
      <c r="H983" s="422"/>
      <c r="I983" s="582"/>
      <c r="J983" s="582"/>
      <c r="K983" s="123">
        <f>1+0.6</f>
        <v>1.6</v>
      </c>
      <c r="L983" s="117">
        <v>33.452300000000001</v>
      </c>
      <c r="M983" s="583">
        <f>2*(3*2.13)+(1*2.13)</f>
        <v>14.91</v>
      </c>
      <c r="N983" s="118">
        <f>(L983*K983)-M983</f>
        <v>38.613680000000002</v>
      </c>
      <c r="O983" s="592"/>
    </row>
    <row r="984" spans="1:15" s="109" customFormat="1" ht="14.25" customHeight="1">
      <c r="A984" s="342"/>
      <c r="B984" s="342"/>
      <c r="C984" s="1000" t="s">
        <v>1850</v>
      </c>
      <c r="D984" s="1000"/>
      <c r="E984" s="1000"/>
      <c r="F984" s="1000"/>
      <c r="G984" s="338" t="s">
        <v>61</v>
      </c>
      <c r="H984" s="422"/>
      <c r="I984" s="582"/>
      <c r="J984" s="582"/>
      <c r="K984" s="123">
        <f t="shared" ref="K984:K985" si="34">1+0.6</f>
        <v>1.6</v>
      </c>
      <c r="L984" s="117">
        <f>57.5679</f>
        <v>57.567900000000002</v>
      </c>
      <c r="M984" s="583"/>
      <c r="N984" s="118">
        <f>(L984*K984)-M984</f>
        <v>92.108640000000008</v>
      </c>
      <c r="O984" s="592"/>
    </row>
    <row r="985" spans="1:15" s="109" customFormat="1" ht="14.25" customHeight="1">
      <c r="A985" s="342"/>
      <c r="B985" s="342"/>
      <c r="C985" s="1000" t="s">
        <v>1851</v>
      </c>
      <c r="D985" s="1000"/>
      <c r="E985" s="1000"/>
      <c r="F985" s="1000"/>
      <c r="G985" s="338" t="s">
        <v>61</v>
      </c>
      <c r="H985" s="422"/>
      <c r="I985" s="582"/>
      <c r="J985" s="582"/>
      <c r="K985" s="123">
        <f t="shared" si="34"/>
        <v>1.6</v>
      </c>
      <c r="L985" s="117">
        <v>54.623399999999997</v>
      </c>
      <c r="M985" s="583"/>
      <c r="N985" s="118">
        <f>(L985*K985)-M985</f>
        <v>87.397440000000003</v>
      </c>
      <c r="O985" s="592"/>
    </row>
    <row r="986" spans="1:15" s="109" customFormat="1" ht="14.25" customHeight="1">
      <c r="A986" s="342"/>
      <c r="B986" s="342"/>
      <c r="C986" s="1000" t="s">
        <v>1852</v>
      </c>
      <c r="D986" s="1000"/>
      <c r="E986" s="1000"/>
      <c r="F986" s="1000"/>
      <c r="G986" s="338" t="s">
        <v>61</v>
      </c>
      <c r="H986" s="422"/>
      <c r="I986" s="582"/>
      <c r="J986" s="582"/>
      <c r="K986" s="123">
        <f>1+2.7</f>
        <v>3.7</v>
      </c>
      <c r="L986" s="117">
        <f>24.5386+2.9365</f>
        <v>27.475099999999998</v>
      </c>
      <c r="M986" s="583"/>
      <c r="N986" s="118">
        <f t="shared" ref="N986:N988" si="35">(L986*K986)-M986</f>
        <v>101.65787</v>
      </c>
      <c r="O986" s="592"/>
    </row>
    <row r="987" spans="1:15" s="109" customFormat="1" ht="14.25" customHeight="1">
      <c r="A987" s="342"/>
      <c r="B987" s="342"/>
      <c r="C987" s="1000" t="s">
        <v>1853</v>
      </c>
      <c r="D987" s="1000"/>
      <c r="E987" s="1000"/>
      <c r="F987" s="1000"/>
      <c r="G987" s="338" t="s">
        <v>61</v>
      </c>
      <c r="H987" s="422"/>
      <c r="I987" s="582"/>
      <c r="J987" s="582"/>
      <c r="K987" s="123">
        <f t="shared" ref="K987:K988" si="36">1+2.7</f>
        <v>3.7</v>
      </c>
      <c r="L987" s="117">
        <f>37.9937+3.05+4.65</f>
        <v>45.693699999999993</v>
      </c>
      <c r="M987" s="583">
        <f>(0.8*2.1)+(3.3*2.5)</f>
        <v>9.93</v>
      </c>
      <c r="N987" s="118">
        <f t="shared" si="35"/>
        <v>159.13668999999999</v>
      </c>
      <c r="O987" s="592"/>
    </row>
    <row r="988" spans="1:15" s="109" customFormat="1" ht="14.25" customHeight="1">
      <c r="A988" s="342"/>
      <c r="B988" s="342"/>
      <c r="C988" s="1000" t="s">
        <v>1854</v>
      </c>
      <c r="D988" s="1000"/>
      <c r="E988" s="1000"/>
      <c r="F988" s="1000"/>
      <c r="G988" s="338" t="s">
        <v>61</v>
      </c>
      <c r="H988" s="422">
        <v>8.1</v>
      </c>
      <c r="I988" s="582"/>
      <c r="J988" s="582"/>
      <c r="K988" s="123">
        <f t="shared" si="36"/>
        <v>3.7</v>
      </c>
      <c r="L988" s="117">
        <v>34.630499999999998</v>
      </c>
      <c r="M988" s="583"/>
      <c r="N988" s="118">
        <f t="shared" si="35"/>
        <v>128.13284999999999</v>
      </c>
      <c r="O988" s="592"/>
    </row>
    <row r="989" spans="1:15" ht="22.5" customHeight="1">
      <c r="A989" s="378">
        <f>ORÇAMENTO!A110</f>
        <v>13128</v>
      </c>
      <c r="B989" s="377" t="str">
        <f>ORÇAMENTO!C110</f>
        <v>6.01.04</v>
      </c>
      <c r="C989" s="1004" t="s">
        <v>242</v>
      </c>
      <c r="D989" s="1004"/>
      <c r="E989" s="1004"/>
      <c r="F989" s="1004"/>
      <c r="G989" s="377" t="s">
        <v>61</v>
      </c>
      <c r="H989" s="377"/>
      <c r="I989" s="379"/>
      <c r="J989" s="379"/>
      <c r="K989" s="379"/>
      <c r="L989" s="380"/>
      <c r="M989" s="379"/>
      <c r="N989" s="380">
        <f>SUM(N990:N991)</f>
        <v>28.980000000000004</v>
      </c>
      <c r="O989" s="379"/>
    </row>
    <row r="990" spans="1:15" s="109" customFormat="1" ht="14.25" customHeight="1">
      <c r="A990" s="342"/>
      <c r="B990" s="342"/>
      <c r="C990" s="1027" t="s">
        <v>1855</v>
      </c>
      <c r="D990" s="1027"/>
      <c r="E990" s="1027"/>
      <c r="F990" s="1027"/>
      <c r="G990" s="338" t="s">
        <v>61</v>
      </c>
      <c r="H990" s="585">
        <v>2</v>
      </c>
      <c r="I990" s="586">
        <v>1.4</v>
      </c>
      <c r="J990" s="586">
        <v>1.05</v>
      </c>
      <c r="K990" s="587"/>
      <c r="L990" s="587"/>
      <c r="M990" s="587"/>
      <c r="N990" s="592">
        <f>I990*J990*H990</f>
        <v>2.94</v>
      </c>
      <c r="O990" s="592"/>
    </row>
    <row r="991" spans="1:15" s="109" customFormat="1" ht="14.25" customHeight="1">
      <c r="A991" s="342"/>
      <c r="B991" s="342"/>
      <c r="C991" s="1027" t="s">
        <v>1842</v>
      </c>
      <c r="D991" s="1027"/>
      <c r="E991" s="1027"/>
      <c r="F991" s="1027"/>
      <c r="G991" s="338" t="s">
        <v>61</v>
      </c>
      <c r="H991" s="585">
        <v>2</v>
      </c>
      <c r="I991" s="586">
        <f>(1.6*4)+(3*2)</f>
        <v>12.4</v>
      </c>
      <c r="J991" s="586">
        <v>1.05</v>
      </c>
      <c r="K991" s="587"/>
      <c r="L991" s="587"/>
      <c r="M991" s="587"/>
      <c r="N991" s="592">
        <f>I991*J991*H991</f>
        <v>26.040000000000003</v>
      </c>
      <c r="O991" s="592"/>
    </row>
    <row r="992" spans="1:15" ht="29.25" customHeight="1">
      <c r="A992" s="377">
        <f>ORÇAMENTO!A112</f>
        <v>93184</v>
      </c>
      <c r="B992" s="377" t="str">
        <f>ORÇAMENTO!C112</f>
        <v>6.02.01</v>
      </c>
      <c r="C992" s="1004" t="str">
        <f>ORÇAMENTO!D112</f>
        <v>VERGA PRÉ-MOLDADA PARA PORTAS COM ATÉ 1,5 M DE VÃO. AF_03/2016</v>
      </c>
      <c r="D992" s="1004"/>
      <c r="E992" s="1004"/>
      <c r="F992" s="1004"/>
      <c r="G992" s="377" t="str">
        <f>ORÇAMENTO!E112</f>
        <v>M</v>
      </c>
      <c r="H992" s="377"/>
      <c r="I992" s="379"/>
      <c r="J992" s="380">
        <f>SUM(J993:J1004)</f>
        <v>68.44</v>
      </c>
      <c r="K992" s="379"/>
      <c r="L992" s="380"/>
      <c r="M992" s="379"/>
      <c r="N992" s="380"/>
      <c r="O992" s="379"/>
    </row>
    <row r="993" spans="1:15" ht="12.75" customHeight="1">
      <c r="A993" s="342"/>
      <c r="B993" s="342"/>
      <c r="C993" s="1008" t="s">
        <v>1856</v>
      </c>
      <c r="D993" s="1008"/>
      <c r="E993" s="1008"/>
      <c r="F993" s="1008"/>
      <c r="G993" s="343"/>
      <c r="H993" s="585"/>
      <c r="I993" s="586"/>
      <c r="J993" s="586"/>
      <c r="K993" s="587"/>
      <c r="L993" s="587"/>
      <c r="M993" s="587"/>
      <c r="N993" s="592"/>
      <c r="O993" s="592"/>
    </row>
    <row r="994" spans="1:15" ht="12.75" customHeight="1">
      <c r="A994" s="342"/>
      <c r="B994" s="342"/>
      <c r="C994" s="1027" t="s">
        <v>1857</v>
      </c>
      <c r="D994" s="1027"/>
      <c r="E994" s="1027"/>
      <c r="F994" s="1027"/>
      <c r="G994" s="343" t="s">
        <v>246</v>
      </c>
      <c r="H994" s="585">
        <v>30</v>
      </c>
      <c r="I994" s="586">
        <v>1.2</v>
      </c>
      <c r="J994" s="586">
        <f>H994*I994</f>
        <v>36</v>
      </c>
      <c r="K994" s="587"/>
      <c r="L994" s="587"/>
      <c r="M994" s="587"/>
      <c r="N994" s="592"/>
      <c r="O994" s="592"/>
    </row>
    <row r="995" spans="1:15" ht="12.75" customHeight="1">
      <c r="A995" s="342"/>
      <c r="B995" s="342"/>
      <c r="C995" s="1027" t="s">
        <v>1858</v>
      </c>
      <c r="D995" s="1027"/>
      <c r="E995" s="1027"/>
      <c r="F995" s="1027"/>
      <c r="G995" s="343" t="s">
        <v>246</v>
      </c>
      <c r="H995" s="585">
        <v>8</v>
      </c>
      <c r="I995" s="586">
        <v>1.1000000000000001</v>
      </c>
      <c r="J995" s="586">
        <f t="shared" ref="J995:J999" si="37">H995*I995</f>
        <v>8.8000000000000007</v>
      </c>
      <c r="K995" s="587"/>
      <c r="L995" s="587"/>
      <c r="M995" s="587"/>
      <c r="N995" s="592"/>
      <c r="O995" s="592"/>
    </row>
    <row r="996" spans="1:15" ht="12.75" customHeight="1">
      <c r="A996" s="342"/>
      <c r="B996" s="342"/>
      <c r="C996" s="1027" t="s">
        <v>1859</v>
      </c>
      <c r="D996" s="1027"/>
      <c r="E996" s="1027"/>
      <c r="F996" s="1027"/>
      <c r="G996" s="343" t="s">
        <v>246</v>
      </c>
      <c r="H996" s="585">
        <v>2</v>
      </c>
      <c r="I996" s="586">
        <v>1.2</v>
      </c>
      <c r="J996" s="586">
        <f t="shared" si="37"/>
        <v>2.4</v>
      </c>
      <c r="K996" s="587"/>
      <c r="L996" s="587"/>
      <c r="M996" s="587"/>
      <c r="N996" s="592"/>
      <c r="O996" s="592"/>
    </row>
    <row r="997" spans="1:15" ht="12.75" customHeight="1">
      <c r="A997" s="342"/>
      <c r="B997" s="342"/>
      <c r="C997" s="1027" t="s">
        <v>1860</v>
      </c>
      <c r="D997" s="1027"/>
      <c r="E997" s="1027"/>
      <c r="F997" s="1027"/>
      <c r="G997" s="343" t="s">
        <v>246</v>
      </c>
      <c r="H997" s="585">
        <v>1</v>
      </c>
      <c r="I997" s="586">
        <v>1.2</v>
      </c>
      <c r="J997" s="586">
        <f t="shared" si="37"/>
        <v>1.2</v>
      </c>
      <c r="K997" s="587"/>
      <c r="L997" s="587"/>
      <c r="M997" s="587"/>
      <c r="N997" s="592"/>
      <c r="O997" s="592"/>
    </row>
    <row r="998" spans="1:15" ht="12.75" customHeight="1">
      <c r="A998" s="342"/>
      <c r="B998" s="342"/>
      <c r="C998" s="1027" t="s">
        <v>1861</v>
      </c>
      <c r="D998" s="1027"/>
      <c r="E998" s="1027"/>
      <c r="F998" s="1027"/>
      <c r="G998" s="343" t="s">
        <v>246</v>
      </c>
      <c r="H998" s="585">
        <v>1</v>
      </c>
      <c r="I998" s="586">
        <v>1.1000000000000001</v>
      </c>
      <c r="J998" s="586">
        <f t="shared" si="37"/>
        <v>1.1000000000000001</v>
      </c>
      <c r="K998" s="587"/>
      <c r="L998" s="587"/>
      <c r="M998" s="587"/>
      <c r="N998" s="592"/>
      <c r="O998" s="592"/>
    </row>
    <row r="999" spans="1:15" ht="12.75" customHeight="1">
      <c r="A999" s="342"/>
      <c r="B999" s="342"/>
      <c r="C999" s="1027" t="s">
        <v>1862</v>
      </c>
      <c r="D999" s="1027"/>
      <c r="E999" s="1027"/>
      <c r="F999" s="1027"/>
      <c r="G999" s="343" t="s">
        <v>246</v>
      </c>
      <c r="H999" s="585">
        <v>3</v>
      </c>
      <c r="I999" s="586">
        <v>1.2</v>
      </c>
      <c r="J999" s="586">
        <f t="shared" si="37"/>
        <v>3.5999999999999996</v>
      </c>
      <c r="K999" s="587"/>
      <c r="L999" s="587"/>
      <c r="M999" s="587"/>
      <c r="N999" s="592"/>
      <c r="O999" s="592"/>
    </row>
    <row r="1000" spans="1:15" ht="12.75" customHeight="1">
      <c r="A1000" s="342"/>
      <c r="B1000" s="342"/>
      <c r="C1000" s="1008" t="s">
        <v>1863</v>
      </c>
      <c r="D1000" s="1008"/>
      <c r="E1000" s="1008"/>
      <c r="F1000" s="1008"/>
      <c r="G1000" s="343"/>
      <c r="H1000" s="385"/>
      <c r="I1000" s="400"/>
      <c r="J1000" s="586"/>
      <c r="K1000" s="587"/>
      <c r="L1000" s="587"/>
      <c r="M1000" s="587"/>
      <c r="N1000" s="592"/>
      <c r="O1000" s="592"/>
    </row>
    <row r="1001" spans="1:15" ht="12.75" customHeight="1">
      <c r="A1001" s="342"/>
      <c r="B1001" s="342"/>
      <c r="C1001" s="1027" t="s">
        <v>1864</v>
      </c>
      <c r="D1001" s="1027"/>
      <c r="E1001" s="1027"/>
      <c r="F1001" s="1027"/>
      <c r="G1001" s="343" t="s">
        <v>246</v>
      </c>
      <c r="H1001" s="385">
        <v>7</v>
      </c>
      <c r="I1001" s="400">
        <v>1.4</v>
      </c>
      <c r="J1001" s="586">
        <f t="shared" ref="J1001:J1004" si="38">H1001*I1001</f>
        <v>9.7999999999999989</v>
      </c>
      <c r="K1001" s="587"/>
      <c r="L1001" s="587"/>
      <c r="M1001" s="587"/>
      <c r="N1001" s="592"/>
      <c r="O1001" s="592"/>
    </row>
    <row r="1002" spans="1:15" ht="12.75" customHeight="1">
      <c r="A1002" s="342"/>
      <c r="B1002" s="342"/>
      <c r="C1002" s="1027" t="s">
        <v>1865</v>
      </c>
      <c r="D1002" s="1027"/>
      <c r="E1002" s="1027"/>
      <c r="F1002" s="1027"/>
      <c r="G1002" s="343" t="s">
        <v>246</v>
      </c>
      <c r="H1002" s="385">
        <v>1</v>
      </c>
      <c r="I1002" s="400">
        <v>1.34</v>
      </c>
      <c r="J1002" s="586">
        <f t="shared" si="38"/>
        <v>1.34</v>
      </c>
      <c r="K1002" s="587"/>
      <c r="L1002" s="587"/>
      <c r="M1002" s="587"/>
      <c r="N1002" s="592"/>
      <c r="O1002" s="592"/>
    </row>
    <row r="1003" spans="1:15" ht="12.75" customHeight="1">
      <c r="A1003" s="342"/>
      <c r="B1003" s="342"/>
      <c r="C1003" s="1027" t="s">
        <v>1866</v>
      </c>
      <c r="D1003" s="1027"/>
      <c r="E1003" s="1027"/>
      <c r="F1003" s="1027"/>
      <c r="G1003" s="343" t="s">
        <v>246</v>
      </c>
      <c r="H1003" s="385">
        <v>1</v>
      </c>
      <c r="I1003" s="400">
        <v>1.4</v>
      </c>
      <c r="J1003" s="586">
        <f t="shared" si="38"/>
        <v>1.4</v>
      </c>
      <c r="K1003" s="587"/>
      <c r="L1003" s="587"/>
      <c r="M1003" s="587"/>
      <c r="N1003" s="592"/>
      <c r="O1003" s="592"/>
    </row>
    <row r="1004" spans="1:15" ht="12.75" customHeight="1">
      <c r="A1004" s="342"/>
      <c r="B1004" s="342"/>
      <c r="C1004" s="1027" t="s">
        <v>1621</v>
      </c>
      <c r="D1004" s="1027"/>
      <c r="E1004" s="1027"/>
      <c r="F1004" s="1027"/>
      <c r="G1004" s="343" t="s">
        <v>246</v>
      </c>
      <c r="H1004" s="385">
        <v>2</v>
      </c>
      <c r="I1004" s="400">
        <v>1.4</v>
      </c>
      <c r="J1004" s="586">
        <f t="shared" si="38"/>
        <v>2.8</v>
      </c>
      <c r="K1004" s="587"/>
      <c r="L1004" s="587"/>
      <c r="M1004" s="587"/>
      <c r="N1004" s="592"/>
      <c r="O1004" s="592"/>
    </row>
    <row r="1005" spans="1:15" ht="29.25" customHeight="1">
      <c r="A1005" s="377">
        <f>ORÇAMENTO!A113</f>
        <v>93185</v>
      </c>
      <c r="B1005" s="377" t="str">
        <f>ORÇAMENTO!C113</f>
        <v>6.02.02</v>
      </c>
      <c r="C1005" s="1071" t="str">
        <f>ORÇAMENTO!D113</f>
        <v>VERGA PRÉ-MOLDADA PARA PORTAS COM MAIS DE 1,5 M DE VÃO. AF_03/2016</v>
      </c>
      <c r="D1005" s="1071"/>
      <c r="E1005" s="1071"/>
      <c r="F1005" s="1071"/>
      <c r="G1005" s="377" t="str">
        <f>ORÇAMENTO!E113</f>
        <v>M</v>
      </c>
      <c r="H1005" s="377"/>
      <c r="I1005" s="379"/>
      <c r="J1005" s="380">
        <f>SUM(J1006:J1025)</f>
        <v>92.63000000000001</v>
      </c>
      <c r="K1005" s="379"/>
      <c r="L1005" s="380"/>
      <c r="M1005" s="379"/>
      <c r="N1005" s="380"/>
      <c r="O1005" s="379"/>
    </row>
    <row r="1006" spans="1:15" ht="12.75" customHeight="1">
      <c r="A1006" s="342"/>
      <c r="B1006" s="342"/>
      <c r="C1006" s="1008" t="s">
        <v>1856</v>
      </c>
      <c r="D1006" s="1008"/>
      <c r="E1006" s="1008"/>
      <c r="F1006" s="1008"/>
      <c r="G1006" s="343"/>
      <c r="H1006" s="585"/>
      <c r="I1006" s="586"/>
      <c r="J1006" s="586"/>
      <c r="K1006" s="587"/>
      <c r="L1006" s="587"/>
      <c r="M1006" s="587"/>
      <c r="N1006" s="592"/>
      <c r="O1006" s="592"/>
    </row>
    <row r="1007" spans="1:15" ht="12.75" customHeight="1">
      <c r="A1007" s="342"/>
      <c r="B1007" s="342"/>
      <c r="C1007" s="1027" t="s">
        <v>1867</v>
      </c>
      <c r="D1007" s="1027"/>
      <c r="E1007" s="1027"/>
      <c r="F1007" s="1027"/>
      <c r="G1007" s="343" t="s">
        <v>246</v>
      </c>
      <c r="H1007" s="585">
        <v>1</v>
      </c>
      <c r="I1007" s="586">
        <v>2</v>
      </c>
      <c r="J1007" s="586">
        <f>H1007*I1007</f>
        <v>2</v>
      </c>
      <c r="K1007" s="587"/>
      <c r="L1007" s="587"/>
      <c r="M1007" s="587"/>
      <c r="N1007" s="592"/>
      <c r="O1007" s="592"/>
    </row>
    <row r="1008" spans="1:15" ht="12.75" customHeight="1">
      <c r="A1008" s="342"/>
      <c r="B1008" s="342"/>
      <c r="C1008" s="1027" t="s">
        <v>1868</v>
      </c>
      <c r="D1008" s="1027"/>
      <c r="E1008" s="1027"/>
      <c r="F1008" s="1027"/>
      <c r="G1008" s="343" t="s">
        <v>246</v>
      </c>
      <c r="H1008" s="585">
        <v>1</v>
      </c>
      <c r="I1008" s="586">
        <v>2</v>
      </c>
      <c r="J1008" s="586">
        <f t="shared" ref="J1008:J1010" si="39">H1008*I1008</f>
        <v>2</v>
      </c>
      <c r="K1008" s="587"/>
      <c r="L1008" s="587"/>
      <c r="M1008" s="587"/>
      <c r="N1008" s="592"/>
      <c r="O1008" s="592"/>
    </row>
    <row r="1009" spans="1:15" ht="12.75" customHeight="1">
      <c r="A1009" s="342"/>
      <c r="B1009" s="342"/>
      <c r="C1009" s="1027" t="s">
        <v>1869</v>
      </c>
      <c r="D1009" s="1027"/>
      <c r="E1009" s="1027"/>
      <c r="F1009" s="1027"/>
      <c r="G1009" s="343" t="s">
        <v>246</v>
      </c>
      <c r="H1009" s="585">
        <v>1</v>
      </c>
      <c r="I1009" s="586">
        <v>3.15</v>
      </c>
      <c r="J1009" s="586">
        <f t="shared" si="39"/>
        <v>3.15</v>
      </c>
      <c r="K1009" s="587"/>
      <c r="L1009" s="587"/>
      <c r="M1009" s="587"/>
      <c r="N1009" s="592"/>
      <c r="O1009" s="592"/>
    </row>
    <row r="1010" spans="1:15" ht="12.75" customHeight="1">
      <c r="A1010" s="342"/>
      <c r="B1010" s="342"/>
      <c r="C1010" s="1027" t="s">
        <v>1870</v>
      </c>
      <c r="D1010" s="1027"/>
      <c r="E1010" s="1027"/>
      <c r="F1010" s="1027"/>
      <c r="G1010" s="343" t="s">
        <v>246</v>
      </c>
      <c r="H1010" s="585">
        <v>1</v>
      </c>
      <c r="I1010" s="586">
        <v>2.6</v>
      </c>
      <c r="J1010" s="586">
        <f t="shared" si="39"/>
        <v>2.6</v>
      </c>
      <c r="K1010" s="587"/>
      <c r="L1010" s="587"/>
      <c r="M1010" s="587"/>
      <c r="N1010" s="592"/>
      <c r="O1010" s="592"/>
    </row>
    <row r="1011" spans="1:15" ht="12.75" customHeight="1">
      <c r="A1011" s="342"/>
      <c r="B1011" s="342"/>
      <c r="C1011" s="1008" t="s">
        <v>1863</v>
      </c>
      <c r="D1011" s="1008"/>
      <c r="E1011" s="1008"/>
      <c r="F1011" s="1008"/>
      <c r="G1011" s="343"/>
      <c r="H1011" s="385"/>
      <c r="I1011" s="400"/>
      <c r="J1011" s="586"/>
      <c r="K1011" s="587"/>
      <c r="L1011" s="587"/>
      <c r="M1011" s="587"/>
      <c r="N1011" s="592"/>
      <c r="O1011" s="592"/>
    </row>
    <row r="1012" spans="1:15" ht="12.75" customHeight="1">
      <c r="A1012" s="342"/>
      <c r="B1012" s="342"/>
      <c r="C1012" s="1027" t="s">
        <v>1871</v>
      </c>
      <c r="D1012" s="1027"/>
      <c r="E1012" s="1027"/>
      <c r="F1012" s="1027"/>
      <c r="G1012" s="343" t="s">
        <v>246</v>
      </c>
      <c r="H1012" s="385">
        <v>13</v>
      </c>
      <c r="I1012" s="400">
        <v>1.86</v>
      </c>
      <c r="J1012" s="586">
        <f t="shared" ref="J1012" si="40">H1012*I1012</f>
        <v>24.18</v>
      </c>
      <c r="K1012" s="587"/>
      <c r="L1012" s="587"/>
      <c r="M1012" s="587"/>
      <c r="N1012" s="592"/>
      <c r="O1012" s="592"/>
    </row>
    <row r="1013" spans="1:15" ht="12.6" customHeight="1">
      <c r="A1013" s="342"/>
      <c r="B1013" s="342"/>
      <c r="C1013" s="1027" t="s">
        <v>1872</v>
      </c>
      <c r="D1013" s="1027"/>
      <c r="E1013" s="1027"/>
      <c r="F1013" s="1027"/>
      <c r="G1013" s="343" t="s">
        <v>246</v>
      </c>
      <c r="H1013" s="385">
        <v>2</v>
      </c>
      <c r="I1013" s="400">
        <v>3.9</v>
      </c>
      <c r="J1013" s="586">
        <f t="shared" ref="J1013:J1025" si="41">H1013*I1013</f>
        <v>7.8</v>
      </c>
      <c r="K1013" s="587"/>
      <c r="L1013" s="587"/>
      <c r="M1013" s="587"/>
      <c r="N1013" s="592"/>
      <c r="O1013" s="592"/>
    </row>
    <row r="1014" spans="1:15" ht="12" customHeight="1">
      <c r="A1014" s="342"/>
      <c r="B1014" s="342"/>
      <c r="C1014" s="1027" t="s">
        <v>1873</v>
      </c>
      <c r="D1014" s="1027"/>
      <c r="E1014" s="1027"/>
      <c r="F1014" s="1027"/>
      <c r="G1014" s="343" t="s">
        <v>246</v>
      </c>
      <c r="H1014" s="385">
        <v>1</v>
      </c>
      <c r="I1014" s="400">
        <v>2.8</v>
      </c>
      <c r="J1014" s="586">
        <f t="shared" ref="J1014:J1017" si="42">H1014*I1014</f>
        <v>2.8</v>
      </c>
      <c r="K1014" s="587"/>
      <c r="L1014" s="587"/>
      <c r="M1014" s="587"/>
      <c r="N1014" s="592"/>
      <c r="O1014" s="592"/>
    </row>
    <row r="1015" spans="1:15" ht="12.75" customHeight="1">
      <c r="A1015" s="342"/>
      <c r="B1015" s="342"/>
      <c r="C1015" s="1027" t="s">
        <v>1874</v>
      </c>
      <c r="D1015" s="1027"/>
      <c r="E1015" s="1027"/>
      <c r="F1015" s="1027"/>
      <c r="G1015" s="343" t="s">
        <v>246</v>
      </c>
      <c r="H1015" s="385">
        <v>1</v>
      </c>
      <c r="I1015" s="400">
        <v>3.45</v>
      </c>
      <c r="J1015" s="586">
        <f t="shared" si="42"/>
        <v>3.45</v>
      </c>
      <c r="K1015" s="587"/>
      <c r="L1015" s="587"/>
      <c r="M1015" s="587"/>
      <c r="N1015" s="592"/>
      <c r="O1015" s="592"/>
    </row>
    <row r="1016" spans="1:15" ht="12.75" customHeight="1">
      <c r="A1016" s="342"/>
      <c r="B1016" s="342"/>
      <c r="C1016" s="1027" t="s">
        <v>1875</v>
      </c>
      <c r="D1016" s="1027"/>
      <c r="E1016" s="1027"/>
      <c r="F1016" s="1027"/>
      <c r="G1016" s="343" t="s">
        <v>246</v>
      </c>
      <c r="H1016" s="385">
        <v>1</v>
      </c>
      <c r="I1016" s="400">
        <v>2.0299999999999998</v>
      </c>
      <c r="J1016" s="586">
        <f t="shared" si="42"/>
        <v>2.0299999999999998</v>
      </c>
      <c r="K1016" s="587"/>
      <c r="L1016" s="587"/>
      <c r="M1016" s="587"/>
      <c r="N1016" s="592"/>
      <c r="O1016" s="592"/>
    </row>
    <row r="1017" spans="1:15" ht="12.75" customHeight="1">
      <c r="A1017" s="342"/>
      <c r="B1017" s="342"/>
      <c r="C1017" s="1027" t="s">
        <v>1876</v>
      </c>
      <c r="D1017" s="1027"/>
      <c r="E1017" s="1027"/>
      <c r="F1017" s="1027"/>
      <c r="G1017" s="343" t="s">
        <v>246</v>
      </c>
      <c r="H1017" s="385">
        <v>1</v>
      </c>
      <c r="I1017" s="400">
        <v>4.01</v>
      </c>
      <c r="J1017" s="586">
        <f t="shared" si="42"/>
        <v>4.01</v>
      </c>
      <c r="K1017" s="587"/>
      <c r="L1017" s="587"/>
      <c r="M1017" s="587"/>
      <c r="N1017" s="592"/>
      <c r="O1017" s="592"/>
    </row>
    <row r="1018" spans="1:15" ht="12" customHeight="1">
      <c r="A1018" s="342"/>
      <c r="B1018" s="342"/>
      <c r="C1018" s="1027" t="s">
        <v>1877</v>
      </c>
      <c r="D1018" s="1027"/>
      <c r="E1018" s="1027"/>
      <c r="F1018" s="1027"/>
      <c r="G1018" s="343" t="s">
        <v>246</v>
      </c>
      <c r="H1018" s="385">
        <v>1</v>
      </c>
      <c r="I1018" s="400">
        <v>2.34</v>
      </c>
      <c r="J1018" s="586">
        <f t="shared" si="41"/>
        <v>2.34</v>
      </c>
      <c r="K1018" s="587"/>
      <c r="L1018" s="587"/>
      <c r="M1018" s="587"/>
      <c r="N1018" s="592"/>
      <c r="O1018" s="592"/>
    </row>
    <row r="1019" spans="1:15" ht="12.75" customHeight="1">
      <c r="A1019" s="342"/>
      <c r="B1019" s="342"/>
      <c r="C1019" s="1027" t="s">
        <v>1878</v>
      </c>
      <c r="D1019" s="1027"/>
      <c r="E1019" s="1027"/>
      <c r="F1019" s="1027"/>
      <c r="G1019" s="343" t="s">
        <v>246</v>
      </c>
      <c r="H1019" s="385">
        <v>4</v>
      </c>
      <c r="I1019" s="400">
        <v>3</v>
      </c>
      <c r="J1019" s="586">
        <f t="shared" si="41"/>
        <v>12</v>
      </c>
      <c r="K1019" s="587"/>
      <c r="L1019" s="587"/>
      <c r="M1019" s="587"/>
      <c r="N1019" s="592"/>
      <c r="O1019" s="592"/>
    </row>
    <row r="1020" spans="1:15" ht="12.75" customHeight="1">
      <c r="A1020" s="342"/>
      <c r="B1020" s="342"/>
      <c r="C1020" s="1027" t="s">
        <v>1879</v>
      </c>
      <c r="D1020" s="1027"/>
      <c r="E1020" s="1027"/>
      <c r="F1020" s="1027"/>
      <c r="G1020" s="343" t="s">
        <v>246</v>
      </c>
      <c r="H1020" s="385">
        <v>5</v>
      </c>
      <c r="I1020" s="400">
        <v>2.4</v>
      </c>
      <c r="J1020" s="586">
        <f t="shared" si="41"/>
        <v>12</v>
      </c>
      <c r="K1020" s="587"/>
      <c r="L1020" s="587"/>
      <c r="M1020" s="587"/>
      <c r="N1020" s="592"/>
      <c r="O1020" s="592"/>
    </row>
    <row r="1021" spans="1:15" ht="12" customHeight="1">
      <c r="A1021" s="342"/>
      <c r="B1021" s="342"/>
      <c r="C1021" s="1027" t="s">
        <v>1880</v>
      </c>
      <c r="D1021" s="1027"/>
      <c r="E1021" s="1027"/>
      <c r="F1021" s="1027"/>
      <c r="G1021" s="343" t="s">
        <v>246</v>
      </c>
      <c r="H1021" s="385">
        <v>1</v>
      </c>
      <c r="I1021" s="400">
        <v>2.4</v>
      </c>
      <c r="J1021" s="586">
        <f t="shared" ref="J1021:J1024" si="43">H1021*I1021</f>
        <v>2.4</v>
      </c>
      <c r="K1021" s="587"/>
      <c r="L1021" s="587"/>
      <c r="M1021" s="587"/>
      <c r="N1021" s="592"/>
      <c r="O1021" s="592"/>
    </row>
    <row r="1022" spans="1:15" ht="12.75" customHeight="1">
      <c r="A1022" s="342"/>
      <c r="B1022" s="342"/>
      <c r="C1022" s="1027" t="s">
        <v>1618</v>
      </c>
      <c r="D1022" s="1027"/>
      <c r="E1022" s="1027"/>
      <c r="F1022" s="1027"/>
      <c r="G1022" s="343" t="s">
        <v>246</v>
      </c>
      <c r="H1022" s="385">
        <v>1</v>
      </c>
      <c r="I1022" s="400">
        <v>2.2000000000000002</v>
      </c>
      <c r="J1022" s="586">
        <f t="shared" si="43"/>
        <v>2.2000000000000002</v>
      </c>
      <c r="K1022" s="587"/>
      <c r="L1022" s="587"/>
      <c r="M1022" s="587"/>
      <c r="N1022" s="592"/>
      <c r="O1022" s="592"/>
    </row>
    <row r="1023" spans="1:15" ht="12.75" customHeight="1">
      <c r="A1023" s="342"/>
      <c r="B1023" s="342"/>
      <c r="C1023" s="1027" t="s">
        <v>1619</v>
      </c>
      <c r="D1023" s="1027"/>
      <c r="E1023" s="1027"/>
      <c r="F1023" s="1027"/>
      <c r="G1023" s="343" t="s">
        <v>246</v>
      </c>
      <c r="H1023" s="385">
        <v>1</v>
      </c>
      <c r="I1023" s="400">
        <v>2.31</v>
      </c>
      <c r="J1023" s="586">
        <f t="shared" si="43"/>
        <v>2.31</v>
      </c>
      <c r="K1023" s="587"/>
      <c r="L1023" s="587"/>
      <c r="M1023" s="587"/>
      <c r="N1023" s="592"/>
      <c r="O1023" s="592"/>
    </row>
    <row r="1024" spans="1:15" ht="12.75" customHeight="1">
      <c r="A1024" s="342"/>
      <c r="B1024" s="342"/>
      <c r="C1024" s="1027" t="s">
        <v>1620</v>
      </c>
      <c r="D1024" s="1027"/>
      <c r="E1024" s="1027"/>
      <c r="F1024" s="1027"/>
      <c r="G1024" s="343" t="s">
        <v>246</v>
      </c>
      <c r="H1024" s="385">
        <v>1</v>
      </c>
      <c r="I1024" s="400">
        <v>2.31</v>
      </c>
      <c r="J1024" s="586">
        <f t="shared" si="43"/>
        <v>2.31</v>
      </c>
      <c r="K1024" s="587"/>
      <c r="L1024" s="587"/>
      <c r="M1024" s="587"/>
      <c r="N1024" s="592"/>
      <c r="O1024" s="592"/>
    </row>
    <row r="1025" spans="1:15" ht="12.75" customHeight="1">
      <c r="A1025" s="342"/>
      <c r="B1025" s="342"/>
      <c r="C1025" s="1027" t="s">
        <v>1622</v>
      </c>
      <c r="D1025" s="1027"/>
      <c r="E1025" s="1027"/>
      <c r="F1025" s="1027"/>
      <c r="G1025" s="343" t="s">
        <v>246</v>
      </c>
      <c r="H1025" s="385">
        <v>1</v>
      </c>
      <c r="I1025" s="400">
        <v>3.05</v>
      </c>
      <c r="J1025" s="586">
        <f t="shared" si="41"/>
        <v>3.05</v>
      </c>
      <c r="K1025" s="587"/>
      <c r="L1025" s="587"/>
      <c r="M1025" s="587"/>
      <c r="N1025" s="592"/>
      <c r="O1025" s="592"/>
    </row>
    <row r="1026" spans="1:15" ht="30.75" customHeight="1">
      <c r="A1026" s="377">
        <f>ORÇAMENTO!A114</f>
        <v>93194</v>
      </c>
      <c r="B1026" s="377" t="str">
        <f>ORÇAMENTO!C114</f>
        <v>6.02.03</v>
      </c>
      <c r="C1026" s="1004" t="str">
        <f>ORÇAMENTO!D114</f>
        <v>CONTRAVERGA PRÉ-MOLDADA PARA VÃOS DE ATÉ 1,5 M DE COMPRIMENTO. AF_03/2016</v>
      </c>
      <c r="D1026" s="1004"/>
      <c r="E1026" s="1004"/>
      <c r="F1026" s="1004"/>
      <c r="G1026" s="377" t="str">
        <f>ORÇAMENTO!E114</f>
        <v>M</v>
      </c>
      <c r="H1026" s="377"/>
      <c r="I1026" s="379"/>
      <c r="J1026" s="380">
        <f>SUM(J1027:J1031)</f>
        <v>15.34</v>
      </c>
      <c r="K1026" s="379"/>
      <c r="L1026" s="379"/>
      <c r="M1026" s="379"/>
      <c r="N1026" s="379"/>
      <c r="O1026" s="379"/>
    </row>
    <row r="1027" spans="1:15" ht="12.75" customHeight="1">
      <c r="A1027" s="342"/>
      <c r="B1027" s="342"/>
      <c r="C1027" s="1008" t="s">
        <v>1863</v>
      </c>
      <c r="D1027" s="1008"/>
      <c r="E1027" s="1008"/>
      <c r="F1027" s="1008"/>
      <c r="G1027" s="343"/>
      <c r="H1027" s="385"/>
      <c r="I1027" s="400"/>
      <c r="J1027" s="586"/>
      <c r="K1027" s="587"/>
      <c r="L1027" s="587"/>
      <c r="M1027" s="587"/>
      <c r="N1027" s="592"/>
      <c r="O1027" s="592"/>
    </row>
    <row r="1028" spans="1:15" ht="12.75" customHeight="1">
      <c r="A1028" s="342"/>
      <c r="B1028" s="342"/>
      <c r="C1028" s="1027" t="s">
        <v>1864</v>
      </c>
      <c r="D1028" s="1027"/>
      <c r="E1028" s="1027"/>
      <c r="F1028" s="1027"/>
      <c r="G1028" s="343" t="s">
        <v>246</v>
      </c>
      <c r="H1028" s="385">
        <v>7</v>
      </c>
      <c r="I1028" s="400">
        <v>1.4</v>
      </c>
      <c r="J1028" s="586">
        <f t="shared" ref="J1028:J1031" si="44">H1028*I1028</f>
        <v>9.7999999999999989</v>
      </c>
      <c r="K1028" s="587"/>
      <c r="L1028" s="587"/>
      <c r="M1028" s="587"/>
      <c r="N1028" s="592"/>
      <c r="O1028" s="592"/>
    </row>
    <row r="1029" spans="1:15" ht="12.75" customHeight="1">
      <c r="A1029" s="342"/>
      <c r="B1029" s="342"/>
      <c r="C1029" s="1027" t="s">
        <v>1865</v>
      </c>
      <c r="D1029" s="1027"/>
      <c r="E1029" s="1027"/>
      <c r="F1029" s="1027"/>
      <c r="G1029" s="343" t="s">
        <v>246</v>
      </c>
      <c r="H1029" s="385">
        <v>1</v>
      </c>
      <c r="I1029" s="400">
        <v>1.34</v>
      </c>
      <c r="J1029" s="586">
        <f t="shared" si="44"/>
        <v>1.34</v>
      </c>
      <c r="K1029" s="587"/>
      <c r="L1029" s="587"/>
      <c r="M1029" s="587"/>
      <c r="N1029" s="592"/>
      <c r="O1029" s="592"/>
    </row>
    <row r="1030" spans="1:15" ht="12.75" customHeight="1">
      <c r="A1030" s="342"/>
      <c r="B1030" s="342"/>
      <c r="C1030" s="1027" t="s">
        <v>1866</v>
      </c>
      <c r="D1030" s="1027"/>
      <c r="E1030" s="1027"/>
      <c r="F1030" s="1027"/>
      <c r="G1030" s="343" t="s">
        <v>246</v>
      </c>
      <c r="H1030" s="385">
        <v>1</v>
      </c>
      <c r="I1030" s="400">
        <v>1.4</v>
      </c>
      <c r="J1030" s="586">
        <f t="shared" si="44"/>
        <v>1.4</v>
      </c>
      <c r="K1030" s="587"/>
      <c r="L1030" s="587"/>
      <c r="M1030" s="587"/>
      <c r="N1030" s="592"/>
      <c r="O1030" s="592"/>
    </row>
    <row r="1031" spans="1:15" ht="12.75" customHeight="1">
      <c r="A1031" s="342"/>
      <c r="B1031" s="342"/>
      <c r="C1031" s="1027" t="s">
        <v>1621</v>
      </c>
      <c r="D1031" s="1027"/>
      <c r="E1031" s="1027"/>
      <c r="F1031" s="1027"/>
      <c r="G1031" s="343" t="s">
        <v>246</v>
      </c>
      <c r="H1031" s="385">
        <v>2</v>
      </c>
      <c r="I1031" s="400">
        <v>1.4</v>
      </c>
      <c r="J1031" s="586">
        <f t="shared" si="44"/>
        <v>2.8</v>
      </c>
      <c r="K1031" s="587"/>
      <c r="L1031" s="587"/>
      <c r="M1031" s="587"/>
      <c r="N1031" s="592"/>
      <c r="O1031" s="592"/>
    </row>
    <row r="1032" spans="1:15" ht="30.75" customHeight="1">
      <c r="A1032" s="377">
        <f>ORÇAMENTO!A115</f>
        <v>93195</v>
      </c>
      <c r="B1032" s="377" t="str">
        <f>ORÇAMENTO!C115</f>
        <v>6.02.04</v>
      </c>
      <c r="C1032" s="1004" t="str">
        <f>ORÇAMENTO!D115</f>
        <v>CONTRAVERGA PRÉ-MOLDADA PARA VÃOS DE MAIS DE 1,5 M DE COMPRIMENTO. AF_03/2016</v>
      </c>
      <c r="D1032" s="1004"/>
      <c r="E1032" s="1004"/>
      <c r="F1032" s="1004"/>
      <c r="G1032" s="377" t="str">
        <f>ORÇAMENTO!E115</f>
        <v>M</v>
      </c>
      <c r="H1032" s="377"/>
      <c r="I1032" s="379"/>
      <c r="J1032" s="380">
        <f>SUM(J1033:J1033)</f>
        <v>24.18</v>
      </c>
      <c r="K1032" s="379"/>
      <c r="L1032" s="379"/>
      <c r="M1032" s="379"/>
      <c r="N1032" s="379"/>
      <c r="O1032" s="379"/>
    </row>
    <row r="1033" spans="1:15" ht="16.5" customHeight="1">
      <c r="A1033" s="342"/>
      <c r="B1033" s="342"/>
      <c r="C1033" s="1027" t="s">
        <v>1871</v>
      </c>
      <c r="D1033" s="1027"/>
      <c r="E1033" s="1027"/>
      <c r="F1033" s="1027"/>
      <c r="G1033" s="343" t="s">
        <v>246</v>
      </c>
      <c r="H1033" s="385">
        <v>13</v>
      </c>
      <c r="I1033" s="400">
        <v>1.86</v>
      </c>
      <c r="J1033" s="586">
        <f t="shared" ref="J1033:J1046" si="45">H1033*I1033</f>
        <v>24.18</v>
      </c>
      <c r="K1033" s="587"/>
      <c r="L1033" s="587"/>
      <c r="M1033" s="587"/>
      <c r="N1033" s="592"/>
      <c r="O1033" s="592"/>
    </row>
    <row r="1034" spans="1:15" ht="16.5" customHeight="1">
      <c r="A1034" s="342"/>
      <c r="B1034" s="342"/>
      <c r="C1034" s="1027" t="s">
        <v>1872</v>
      </c>
      <c r="D1034" s="1027"/>
      <c r="E1034" s="1027"/>
      <c r="F1034" s="1027"/>
      <c r="G1034" s="343" t="s">
        <v>246</v>
      </c>
      <c r="H1034" s="385">
        <v>2</v>
      </c>
      <c r="I1034" s="400">
        <v>3.9</v>
      </c>
      <c r="J1034" s="586">
        <f t="shared" si="45"/>
        <v>7.8</v>
      </c>
      <c r="K1034" s="587"/>
      <c r="L1034" s="587"/>
      <c r="M1034" s="587"/>
      <c r="N1034" s="592"/>
      <c r="O1034" s="592"/>
    </row>
    <row r="1035" spans="1:15" ht="16.5" customHeight="1">
      <c r="A1035" s="342"/>
      <c r="B1035" s="342"/>
      <c r="C1035" s="1027" t="s">
        <v>1873</v>
      </c>
      <c r="D1035" s="1027"/>
      <c r="E1035" s="1027"/>
      <c r="F1035" s="1027"/>
      <c r="G1035" s="343" t="s">
        <v>246</v>
      </c>
      <c r="H1035" s="385">
        <v>1</v>
      </c>
      <c r="I1035" s="400">
        <v>2.8</v>
      </c>
      <c r="J1035" s="586">
        <f t="shared" si="45"/>
        <v>2.8</v>
      </c>
      <c r="K1035" s="587"/>
      <c r="L1035" s="587"/>
      <c r="M1035" s="587"/>
      <c r="N1035" s="592"/>
      <c r="O1035" s="592"/>
    </row>
    <row r="1036" spans="1:15" ht="16.5" customHeight="1">
      <c r="A1036" s="342"/>
      <c r="B1036" s="342"/>
      <c r="C1036" s="1027" t="s">
        <v>1874</v>
      </c>
      <c r="D1036" s="1027"/>
      <c r="E1036" s="1027"/>
      <c r="F1036" s="1027"/>
      <c r="G1036" s="343" t="s">
        <v>246</v>
      </c>
      <c r="H1036" s="385">
        <v>1</v>
      </c>
      <c r="I1036" s="400">
        <v>3.45</v>
      </c>
      <c r="J1036" s="586">
        <f t="shared" si="45"/>
        <v>3.45</v>
      </c>
      <c r="K1036" s="587"/>
      <c r="L1036" s="587"/>
      <c r="M1036" s="587"/>
      <c r="N1036" s="592"/>
      <c r="O1036" s="592"/>
    </row>
    <row r="1037" spans="1:15" ht="16.5" customHeight="1">
      <c r="A1037" s="342"/>
      <c r="B1037" s="342"/>
      <c r="C1037" s="1027" t="s">
        <v>1875</v>
      </c>
      <c r="D1037" s="1027"/>
      <c r="E1037" s="1027"/>
      <c r="F1037" s="1027"/>
      <c r="G1037" s="343" t="s">
        <v>246</v>
      </c>
      <c r="H1037" s="385">
        <v>1</v>
      </c>
      <c r="I1037" s="400">
        <v>2.0299999999999998</v>
      </c>
      <c r="J1037" s="586">
        <f t="shared" si="45"/>
        <v>2.0299999999999998</v>
      </c>
      <c r="K1037" s="587"/>
      <c r="L1037" s="587"/>
      <c r="M1037" s="587"/>
      <c r="N1037" s="592"/>
      <c r="O1037" s="592"/>
    </row>
    <row r="1038" spans="1:15" ht="16.5" customHeight="1">
      <c r="A1038" s="342"/>
      <c r="B1038" s="342"/>
      <c r="C1038" s="1027" t="s">
        <v>1876</v>
      </c>
      <c r="D1038" s="1027"/>
      <c r="E1038" s="1027"/>
      <c r="F1038" s="1027"/>
      <c r="G1038" s="343" t="s">
        <v>246</v>
      </c>
      <c r="H1038" s="385">
        <v>1</v>
      </c>
      <c r="I1038" s="400">
        <v>4.01</v>
      </c>
      <c r="J1038" s="586">
        <f t="shared" si="45"/>
        <v>4.01</v>
      </c>
      <c r="K1038" s="587"/>
      <c r="L1038" s="587"/>
      <c r="M1038" s="587"/>
      <c r="N1038" s="592"/>
      <c r="O1038" s="592"/>
    </row>
    <row r="1039" spans="1:15" ht="16.5" customHeight="1">
      <c r="A1039" s="342"/>
      <c r="B1039" s="342"/>
      <c r="C1039" s="1027" t="s">
        <v>1877</v>
      </c>
      <c r="D1039" s="1027"/>
      <c r="E1039" s="1027"/>
      <c r="F1039" s="1027"/>
      <c r="G1039" s="343" t="s">
        <v>246</v>
      </c>
      <c r="H1039" s="385">
        <v>1</v>
      </c>
      <c r="I1039" s="400">
        <v>2.34</v>
      </c>
      <c r="J1039" s="586">
        <f t="shared" si="45"/>
        <v>2.34</v>
      </c>
      <c r="K1039" s="587"/>
      <c r="L1039" s="587"/>
      <c r="M1039" s="587"/>
      <c r="N1039" s="592"/>
      <c r="O1039" s="592"/>
    </row>
    <row r="1040" spans="1:15" ht="16.5" customHeight="1">
      <c r="A1040" s="342"/>
      <c r="B1040" s="342"/>
      <c r="C1040" s="1027" t="s">
        <v>1878</v>
      </c>
      <c r="D1040" s="1027"/>
      <c r="E1040" s="1027"/>
      <c r="F1040" s="1027"/>
      <c r="G1040" s="343" t="s">
        <v>246</v>
      </c>
      <c r="H1040" s="385">
        <v>4</v>
      </c>
      <c r="I1040" s="400">
        <v>3</v>
      </c>
      <c r="J1040" s="586">
        <f t="shared" si="45"/>
        <v>12</v>
      </c>
      <c r="K1040" s="587"/>
      <c r="L1040" s="587"/>
      <c r="M1040" s="587"/>
      <c r="N1040" s="592"/>
      <c r="O1040" s="592"/>
    </row>
    <row r="1041" spans="1:15" ht="16.5" customHeight="1">
      <c r="A1041" s="342"/>
      <c r="B1041" s="342"/>
      <c r="C1041" s="1027" t="s">
        <v>1879</v>
      </c>
      <c r="D1041" s="1027"/>
      <c r="E1041" s="1027"/>
      <c r="F1041" s="1027"/>
      <c r="G1041" s="343" t="s">
        <v>246</v>
      </c>
      <c r="H1041" s="385">
        <v>5</v>
      </c>
      <c r="I1041" s="400">
        <v>2.4</v>
      </c>
      <c r="J1041" s="586">
        <f t="shared" si="45"/>
        <v>12</v>
      </c>
      <c r="K1041" s="587"/>
      <c r="L1041" s="587"/>
      <c r="M1041" s="587"/>
      <c r="N1041" s="592"/>
      <c r="O1041" s="592"/>
    </row>
    <row r="1042" spans="1:15" ht="16.5" customHeight="1">
      <c r="A1042" s="342"/>
      <c r="B1042" s="342"/>
      <c r="C1042" s="1027" t="s">
        <v>1880</v>
      </c>
      <c r="D1042" s="1027"/>
      <c r="E1042" s="1027"/>
      <c r="F1042" s="1027"/>
      <c r="G1042" s="343" t="s">
        <v>246</v>
      </c>
      <c r="H1042" s="385">
        <v>1</v>
      </c>
      <c r="I1042" s="400">
        <v>2.4</v>
      </c>
      <c r="J1042" s="586">
        <f t="shared" si="45"/>
        <v>2.4</v>
      </c>
      <c r="K1042" s="587"/>
      <c r="L1042" s="587"/>
      <c r="M1042" s="587"/>
      <c r="N1042" s="592"/>
      <c r="O1042" s="592"/>
    </row>
    <row r="1043" spans="1:15" ht="16.5" customHeight="1">
      <c r="A1043" s="342"/>
      <c r="B1043" s="342"/>
      <c r="C1043" s="1027" t="s">
        <v>1618</v>
      </c>
      <c r="D1043" s="1027"/>
      <c r="E1043" s="1027"/>
      <c r="F1043" s="1027"/>
      <c r="G1043" s="343" t="s">
        <v>246</v>
      </c>
      <c r="H1043" s="385">
        <v>1</v>
      </c>
      <c r="I1043" s="400">
        <v>2.2000000000000002</v>
      </c>
      <c r="J1043" s="586">
        <f t="shared" si="45"/>
        <v>2.2000000000000002</v>
      </c>
      <c r="K1043" s="587"/>
      <c r="L1043" s="587"/>
      <c r="M1043" s="587"/>
      <c r="N1043" s="592"/>
      <c r="O1043" s="592"/>
    </row>
    <row r="1044" spans="1:15" ht="16.5" customHeight="1">
      <c r="A1044" s="342"/>
      <c r="B1044" s="342"/>
      <c r="C1044" s="1027" t="s">
        <v>1619</v>
      </c>
      <c r="D1044" s="1027"/>
      <c r="E1044" s="1027"/>
      <c r="F1044" s="1027"/>
      <c r="G1044" s="343" t="s">
        <v>246</v>
      </c>
      <c r="H1044" s="385">
        <v>1</v>
      </c>
      <c r="I1044" s="400">
        <v>2.31</v>
      </c>
      <c r="J1044" s="586">
        <f t="shared" si="45"/>
        <v>2.31</v>
      </c>
      <c r="K1044" s="587"/>
      <c r="L1044" s="587"/>
      <c r="M1044" s="587"/>
      <c r="N1044" s="592"/>
      <c r="O1044" s="592"/>
    </row>
    <row r="1045" spans="1:15" ht="16.5" customHeight="1">
      <c r="A1045" s="342"/>
      <c r="B1045" s="342"/>
      <c r="C1045" s="1027" t="s">
        <v>1620</v>
      </c>
      <c r="D1045" s="1027"/>
      <c r="E1045" s="1027"/>
      <c r="F1045" s="1027"/>
      <c r="G1045" s="343" t="s">
        <v>246</v>
      </c>
      <c r="H1045" s="385">
        <v>1</v>
      </c>
      <c r="I1045" s="400">
        <v>2.31</v>
      </c>
      <c r="J1045" s="586">
        <f t="shared" si="45"/>
        <v>2.31</v>
      </c>
      <c r="K1045" s="587"/>
      <c r="L1045" s="587"/>
      <c r="M1045" s="587"/>
      <c r="N1045" s="592"/>
      <c r="O1045" s="592"/>
    </row>
    <row r="1046" spans="1:15" ht="16.5" customHeight="1">
      <c r="A1046" s="342"/>
      <c r="B1046" s="342"/>
      <c r="C1046" s="1027" t="s">
        <v>1622</v>
      </c>
      <c r="D1046" s="1027"/>
      <c r="E1046" s="1027"/>
      <c r="F1046" s="1027"/>
      <c r="G1046" s="343" t="s">
        <v>246</v>
      </c>
      <c r="H1046" s="385">
        <v>1</v>
      </c>
      <c r="I1046" s="400">
        <v>3.05</v>
      </c>
      <c r="J1046" s="586">
        <f t="shared" si="45"/>
        <v>3.05</v>
      </c>
      <c r="K1046" s="587"/>
      <c r="L1046" s="587"/>
      <c r="M1046" s="587"/>
      <c r="N1046" s="592"/>
      <c r="O1046" s="592"/>
    </row>
    <row r="1047" spans="1:15" ht="30.75" customHeight="1">
      <c r="A1047" s="377">
        <f>ORÇAMENTO!A116</f>
        <v>8394</v>
      </c>
      <c r="B1047" s="377" t="str">
        <f>ORÇAMENTO!C116</f>
        <v>6.02.05</v>
      </c>
      <c r="C1047" s="1003" t="str">
        <f>ORÇAMENTO!D116</f>
        <v>APLICAÇÃO DE TELA FIX LARGURA 15CM, EM ENCONTROS DE ALVENARIAS COM VIGAS</v>
      </c>
      <c r="D1047" s="1003"/>
      <c r="E1047" s="1003"/>
      <c r="F1047" s="1003"/>
      <c r="G1047" s="377" t="s">
        <v>246</v>
      </c>
      <c r="H1047" s="377"/>
      <c r="I1047" s="379"/>
      <c r="J1047" s="380"/>
      <c r="K1047" s="379"/>
      <c r="L1047" s="429">
        <f>SUM(L1048:L1087)</f>
        <v>436.82409999999987</v>
      </c>
      <c r="M1047" s="379"/>
      <c r="N1047" s="379"/>
      <c r="O1047" s="379"/>
    </row>
    <row r="1048" spans="1:15" ht="16.5" customHeight="1">
      <c r="A1048" s="342"/>
      <c r="B1048" s="342"/>
      <c r="C1048" s="1028" t="s">
        <v>1812</v>
      </c>
      <c r="D1048" s="1028"/>
      <c r="E1048" s="1028"/>
      <c r="F1048" s="1028"/>
      <c r="G1048" s="430"/>
      <c r="H1048" s="431"/>
      <c r="I1048" s="432"/>
      <c r="J1048" s="432"/>
      <c r="K1048" s="310"/>
      <c r="L1048" s="310"/>
      <c r="M1048" s="587"/>
      <c r="N1048" s="592"/>
      <c r="O1048" s="592"/>
    </row>
    <row r="1049" spans="1:15" ht="16.5" customHeight="1">
      <c r="A1049" s="342"/>
      <c r="B1049" s="342"/>
      <c r="C1049" s="1009" t="s">
        <v>1813</v>
      </c>
      <c r="D1049" s="1009"/>
      <c r="E1049" s="1009"/>
      <c r="F1049" s="1009"/>
      <c r="G1049" s="430" t="s">
        <v>246</v>
      </c>
      <c r="H1049" s="431">
        <v>1.1000000000000001</v>
      </c>
      <c r="I1049" s="432"/>
      <c r="J1049" s="432"/>
      <c r="K1049" s="310"/>
      <c r="L1049" s="310">
        <f>17.68+3.35+12.55+4.2+20.7+1.4+3.9+1.1+2.05+3.6+1.612+11.935+2.5036+5.3+12.3+5.3+3.05+5.8+15.48+4.84+6.35</f>
        <v>145.00059999999996</v>
      </c>
      <c r="M1049" s="587"/>
      <c r="N1049" s="592"/>
      <c r="O1049" s="592"/>
    </row>
    <row r="1050" spans="1:15" ht="16.5" customHeight="1">
      <c r="A1050" s="342"/>
      <c r="B1050" s="342"/>
      <c r="C1050" s="1009" t="s">
        <v>1814</v>
      </c>
      <c r="D1050" s="1009"/>
      <c r="E1050" s="1009"/>
      <c r="F1050" s="1009"/>
      <c r="G1050" s="430" t="s">
        <v>246</v>
      </c>
      <c r="H1050" s="431">
        <v>1.1000000000000001</v>
      </c>
      <c r="I1050" s="432"/>
      <c r="J1050" s="432"/>
      <c r="K1050" s="310"/>
      <c r="L1050" s="310">
        <f>4.4+1.97</f>
        <v>6.37</v>
      </c>
      <c r="M1050" s="587"/>
      <c r="N1050" s="592"/>
      <c r="O1050" s="592"/>
    </row>
    <row r="1051" spans="1:15" ht="16.5" customHeight="1">
      <c r="A1051" s="342"/>
      <c r="B1051" s="342"/>
      <c r="C1051" s="1009" t="s">
        <v>1815</v>
      </c>
      <c r="D1051" s="1009"/>
      <c r="E1051" s="1009"/>
      <c r="F1051" s="1009"/>
      <c r="G1051" s="430" t="s">
        <v>246</v>
      </c>
      <c r="H1051" s="431">
        <v>1.1000000000000001</v>
      </c>
      <c r="I1051" s="432"/>
      <c r="J1051" s="432"/>
      <c r="K1051" s="310"/>
      <c r="L1051" s="310">
        <f>3.75+3.2</f>
        <v>6.95</v>
      </c>
      <c r="M1051" s="587"/>
      <c r="N1051" s="592"/>
      <c r="O1051" s="592"/>
    </row>
    <row r="1052" spans="1:15" ht="16.5" customHeight="1">
      <c r="A1052" s="342"/>
      <c r="B1052" s="342"/>
      <c r="C1052" s="1009" t="s">
        <v>1816</v>
      </c>
      <c r="D1052" s="1009"/>
      <c r="E1052" s="1009"/>
      <c r="F1052" s="1009"/>
      <c r="G1052" s="430" t="s">
        <v>246</v>
      </c>
      <c r="H1052" s="431">
        <v>1.1000000000000001</v>
      </c>
      <c r="I1052" s="432"/>
      <c r="J1052" s="432"/>
      <c r="K1052" s="310"/>
      <c r="L1052" s="310">
        <f>3.2+2.11</f>
        <v>5.3100000000000005</v>
      </c>
      <c r="M1052" s="587"/>
      <c r="N1052" s="592"/>
      <c r="O1052" s="592"/>
    </row>
    <row r="1053" spans="1:15" ht="16.5" customHeight="1">
      <c r="A1053" s="342"/>
      <c r="B1053" s="342"/>
      <c r="C1053" s="1009" t="s">
        <v>1817</v>
      </c>
      <c r="D1053" s="1009"/>
      <c r="E1053" s="1009"/>
      <c r="F1053" s="1009"/>
      <c r="G1053" s="430" t="s">
        <v>246</v>
      </c>
      <c r="H1053" s="431">
        <v>1.1000000000000001</v>
      </c>
      <c r="I1053" s="432"/>
      <c r="J1053" s="432"/>
      <c r="K1053" s="310"/>
      <c r="L1053" s="310">
        <f>3.2+2.11+3.2</f>
        <v>8.5100000000000016</v>
      </c>
      <c r="M1053" s="587"/>
      <c r="N1053" s="592"/>
      <c r="O1053" s="592"/>
    </row>
    <row r="1054" spans="1:15" ht="16.5" customHeight="1">
      <c r="A1054" s="342"/>
      <c r="B1054" s="342"/>
      <c r="C1054" s="1009" t="s">
        <v>1818</v>
      </c>
      <c r="D1054" s="1009"/>
      <c r="E1054" s="1009"/>
      <c r="F1054" s="1009"/>
      <c r="G1054" s="430" t="s">
        <v>246</v>
      </c>
      <c r="H1054" s="431">
        <v>1.1000000000000001</v>
      </c>
      <c r="I1054" s="432"/>
      <c r="J1054" s="432"/>
      <c r="K1054" s="310"/>
      <c r="L1054" s="310">
        <f>1.475+1.85</f>
        <v>3.3250000000000002</v>
      </c>
      <c r="M1054" s="587"/>
      <c r="N1054" s="592"/>
      <c r="O1054" s="592"/>
    </row>
    <row r="1055" spans="1:15" ht="16.5" customHeight="1">
      <c r="A1055" s="342"/>
      <c r="B1055" s="342"/>
      <c r="C1055" s="1009" t="s">
        <v>1819</v>
      </c>
      <c r="D1055" s="1009"/>
      <c r="E1055" s="1009"/>
      <c r="F1055" s="1009"/>
      <c r="G1055" s="430" t="s">
        <v>246</v>
      </c>
      <c r="H1055" s="431">
        <v>1.1000000000000001</v>
      </c>
      <c r="I1055" s="432"/>
      <c r="J1055" s="432"/>
      <c r="K1055" s="310"/>
      <c r="L1055" s="310">
        <f>2.85+1.2</f>
        <v>4.05</v>
      </c>
      <c r="M1055" s="587"/>
      <c r="N1055" s="592"/>
      <c r="O1055" s="592"/>
    </row>
    <row r="1056" spans="1:15" ht="16.5" customHeight="1">
      <c r="A1056" s="342"/>
      <c r="B1056" s="342"/>
      <c r="C1056" s="1009" t="s">
        <v>1820</v>
      </c>
      <c r="D1056" s="1009"/>
      <c r="E1056" s="1009"/>
      <c r="F1056" s="1009"/>
      <c r="G1056" s="430" t="s">
        <v>246</v>
      </c>
      <c r="H1056" s="431">
        <v>1.1000000000000001</v>
      </c>
      <c r="I1056" s="432"/>
      <c r="J1056" s="432"/>
      <c r="K1056" s="310"/>
      <c r="L1056" s="310">
        <f>5.965</f>
        <v>5.9649999999999999</v>
      </c>
      <c r="M1056" s="587"/>
      <c r="N1056" s="592"/>
      <c r="O1056" s="592"/>
    </row>
    <row r="1057" spans="1:15" ht="16.5" customHeight="1">
      <c r="A1057" s="342"/>
      <c r="B1057" s="342"/>
      <c r="C1057" s="1009" t="s">
        <v>1821</v>
      </c>
      <c r="D1057" s="1009"/>
      <c r="E1057" s="1009"/>
      <c r="F1057" s="1009"/>
      <c r="G1057" s="430" t="s">
        <v>246</v>
      </c>
      <c r="H1057" s="431">
        <v>1.1000000000000001</v>
      </c>
      <c r="I1057" s="432"/>
      <c r="J1057" s="432"/>
      <c r="K1057" s="310"/>
      <c r="L1057" s="310">
        <f>1.25+2.553+1.75+4.99</f>
        <v>10.542999999999999</v>
      </c>
      <c r="M1057" s="587"/>
      <c r="N1057" s="592"/>
      <c r="O1057" s="592"/>
    </row>
    <row r="1058" spans="1:15" ht="16.5" customHeight="1">
      <c r="A1058" s="342"/>
      <c r="B1058" s="342"/>
      <c r="C1058" s="1009" t="s">
        <v>1822</v>
      </c>
      <c r="D1058" s="1009"/>
      <c r="E1058" s="1009"/>
      <c r="F1058" s="1009"/>
      <c r="G1058" s="430" t="s">
        <v>246</v>
      </c>
      <c r="H1058" s="431">
        <v>1.1000000000000001</v>
      </c>
      <c r="I1058" s="432"/>
      <c r="J1058" s="432"/>
      <c r="K1058" s="310"/>
      <c r="L1058" s="310">
        <f>4.84</f>
        <v>4.84</v>
      </c>
      <c r="M1058" s="587"/>
      <c r="N1058" s="592"/>
      <c r="O1058" s="592"/>
    </row>
    <row r="1059" spans="1:15" ht="16.5" customHeight="1">
      <c r="A1059" s="342"/>
      <c r="B1059" s="342"/>
      <c r="C1059" s="1009" t="s">
        <v>1823</v>
      </c>
      <c r="D1059" s="1009"/>
      <c r="E1059" s="1009"/>
      <c r="F1059" s="1009"/>
      <c r="G1059" s="430" t="s">
        <v>246</v>
      </c>
      <c r="H1059" s="431">
        <v>1.1000000000000001</v>
      </c>
      <c r="I1059" s="432"/>
      <c r="J1059" s="432"/>
      <c r="K1059" s="310"/>
      <c r="L1059" s="310">
        <f>1.45+1.9</f>
        <v>3.3499999999999996</v>
      </c>
      <c r="M1059" s="587"/>
      <c r="N1059" s="592"/>
      <c r="O1059" s="592"/>
    </row>
    <row r="1060" spans="1:15" ht="16.5" customHeight="1">
      <c r="A1060" s="342"/>
      <c r="B1060" s="342"/>
      <c r="C1060" s="1009" t="s">
        <v>1824</v>
      </c>
      <c r="D1060" s="1009"/>
      <c r="E1060" s="1009"/>
      <c r="F1060" s="1009"/>
      <c r="G1060" s="430" t="s">
        <v>246</v>
      </c>
      <c r="H1060" s="431">
        <v>1.1000000000000001</v>
      </c>
      <c r="I1060" s="432"/>
      <c r="J1060" s="432"/>
      <c r="K1060" s="310"/>
      <c r="L1060" s="310">
        <f>5.33</f>
        <v>5.33</v>
      </c>
      <c r="M1060" s="587"/>
      <c r="N1060" s="592"/>
      <c r="O1060" s="592"/>
    </row>
    <row r="1061" spans="1:15" ht="16.5" customHeight="1">
      <c r="A1061" s="342"/>
      <c r="B1061" s="342"/>
      <c r="C1061" s="1009" t="s">
        <v>1825</v>
      </c>
      <c r="D1061" s="1009"/>
      <c r="E1061" s="1009"/>
      <c r="F1061" s="1009"/>
      <c r="G1061" s="430" t="s">
        <v>246</v>
      </c>
      <c r="H1061" s="431">
        <v>1.1000000000000001</v>
      </c>
      <c r="I1061" s="432"/>
      <c r="J1061" s="432"/>
      <c r="K1061" s="310"/>
      <c r="L1061" s="310">
        <f>5.35+5.95</f>
        <v>11.3</v>
      </c>
      <c r="M1061" s="587"/>
      <c r="N1061" s="592"/>
      <c r="O1061" s="592"/>
    </row>
    <row r="1062" spans="1:15" ht="16.5" customHeight="1">
      <c r="A1062" s="342"/>
      <c r="B1062" s="342"/>
      <c r="C1062" s="1009" t="s">
        <v>1826</v>
      </c>
      <c r="D1062" s="1009"/>
      <c r="E1062" s="1009"/>
      <c r="F1062" s="1009"/>
      <c r="G1062" s="430" t="s">
        <v>246</v>
      </c>
      <c r="H1062" s="431">
        <v>1.1000000000000001</v>
      </c>
      <c r="I1062" s="432"/>
      <c r="J1062" s="432"/>
      <c r="K1062" s="310"/>
      <c r="L1062" s="310">
        <f>2.05+2.7</f>
        <v>4.75</v>
      </c>
      <c r="M1062" s="587"/>
      <c r="N1062" s="592"/>
      <c r="O1062" s="592"/>
    </row>
    <row r="1063" spans="1:15" ht="16.5" customHeight="1">
      <c r="A1063" s="342"/>
      <c r="B1063" s="342"/>
      <c r="C1063" s="1009" t="s">
        <v>1827</v>
      </c>
      <c r="D1063" s="1009"/>
      <c r="E1063" s="1009"/>
      <c r="F1063" s="1009"/>
      <c r="G1063" s="430" t="s">
        <v>246</v>
      </c>
      <c r="H1063" s="431">
        <v>1.1000000000000001</v>
      </c>
      <c r="I1063" s="432"/>
      <c r="J1063" s="432"/>
      <c r="K1063" s="310"/>
      <c r="L1063" s="310">
        <f>1.9+2.7</f>
        <v>4.5999999999999996</v>
      </c>
      <c r="M1063" s="587"/>
      <c r="N1063" s="592"/>
      <c r="O1063" s="592"/>
    </row>
    <row r="1064" spans="1:15" ht="16.5" customHeight="1">
      <c r="A1064" s="342"/>
      <c r="B1064" s="342"/>
      <c r="C1064" s="1009" t="s">
        <v>1828</v>
      </c>
      <c r="D1064" s="1009"/>
      <c r="E1064" s="1009"/>
      <c r="F1064" s="1009"/>
      <c r="G1064" s="430" t="s">
        <v>246</v>
      </c>
      <c r="H1064" s="431">
        <v>1.1000000000000001</v>
      </c>
      <c r="I1064" s="432"/>
      <c r="J1064" s="432"/>
      <c r="K1064" s="310"/>
      <c r="L1064" s="310">
        <f>1.9+2.7</f>
        <v>4.5999999999999996</v>
      </c>
      <c r="M1064" s="587"/>
      <c r="N1064" s="592"/>
      <c r="O1064" s="592"/>
    </row>
    <row r="1065" spans="1:15" ht="16.5" customHeight="1">
      <c r="A1065" s="342"/>
      <c r="B1065" s="342"/>
      <c r="C1065" s="1009" t="s">
        <v>1829</v>
      </c>
      <c r="D1065" s="1009"/>
      <c r="E1065" s="1009"/>
      <c r="F1065" s="1009"/>
      <c r="G1065" s="430" t="s">
        <v>246</v>
      </c>
      <c r="H1065" s="431">
        <v>1.1000000000000001</v>
      </c>
      <c r="I1065" s="432"/>
      <c r="J1065" s="432"/>
      <c r="K1065" s="310"/>
      <c r="L1065" s="310">
        <f>1.275</f>
        <v>1.2749999999999999</v>
      </c>
      <c r="M1065" s="587"/>
      <c r="N1065" s="592"/>
      <c r="O1065" s="592"/>
    </row>
    <row r="1066" spans="1:15" ht="16.5" customHeight="1">
      <c r="A1066" s="342"/>
      <c r="B1066" s="342"/>
      <c r="C1066" s="1009" t="s">
        <v>1830</v>
      </c>
      <c r="D1066" s="1009"/>
      <c r="E1066" s="1009"/>
      <c r="F1066" s="1009"/>
      <c r="G1066" s="430" t="s">
        <v>246</v>
      </c>
      <c r="H1066" s="431">
        <v>2.1</v>
      </c>
      <c r="I1066" s="432"/>
      <c r="J1066" s="432"/>
      <c r="K1066" s="310"/>
      <c r="L1066" s="310">
        <v>7.05</v>
      </c>
      <c r="M1066" s="587"/>
      <c r="N1066" s="592"/>
      <c r="O1066" s="592"/>
    </row>
    <row r="1067" spans="1:15" ht="16.5" customHeight="1">
      <c r="A1067" s="342"/>
      <c r="B1067" s="342"/>
      <c r="C1067" s="1009" t="s">
        <v>1831</v>
      </c>
      <c r="D1067" s="1009"/>
      <c r="E1067" s="1009"/>
      <c r="F1067" s="1009"/>
      <c r="G1067" s="430" t="s">
        <v>246</v>
      </c>
      <c r="H1067" s="431">
        <v>1.1000000000000001</v>
      </c>
      <c r="I1067" s="432"/>
      <c r="J1067" s="432"/>
      <c r="K1067" s="310"/>
      <c r="L1067" s="310">
        <f>10+13.7+10.15</f>
        <v>33.85</v>
      </c>
      <c r="M1067" s="587"/>
      <c r="N1067" s="592"/>
      <c r="O1067" s="592"/>
    </row>
    <row r="1068" spans="1:15" ht="16.5" customHeight="1">
      <c r="A1068" s="342"/>
      <c r="B1068" s="342"/>
      <c r="C1068" s="1009" t="s">
        <v>1832</v>
      </c>
      <c r="D1068" s="1009"/>
      <c r="E1068" s="1009"/>
      <c r="F1068" s="1009"/>
      <c r="G1068" s="430" t="s">
        <v>246</v>
      </c>
      <c r="H1068" s="431">
        <v>1.1000000000000001</v>
      </c>
      <c r="I1068" s="432"/>
      <c r="J1068" s="432"/>
      <c r="K1068" s="310"/>
      <c r="L1068" s="310">
        <f>1.7705+1.25</f>
        <v>3.0205000000000002</v>
      </c>
      <c r="M1068" s="587"/>
      <c r="N1068" s="592"/>
      <c r="O1068" s="592"/>
    </row>
    <row r="1069" spans="1:15" ht="16.5" customHeight="1">
      <c r="A1069" s="342"/>
      <c r="B1069" s="342"/>
      <c r="C1069" s="1009" t="s">
        <v>1833</v>
      </c>
      <c r="D1069" s="1009"/>
      <c r="E1069" s="1009"/>
      <c r="F1069" s="1009"/>
      <c r="G1069" s="430" t="s">
        <v>246</v>
      </c>
      <c r="H1069" s="431">
        <v>1.1000000000000001</v>
      </c>
      <c r="I1069" s="432"/>
      <c r="J1069" s="432"/>
      <c r="K1069" s="310"/>
      <c r="L1069" s="310">
        <v>1.95</v>
      </c>
      <c r="M1069" s="587"/>
      <c r="N1069" s="592"/>
      <c r="O1069" s="592"/>
    </row>
    <row r="1070" spans="1:15" ht="16.5" customHeight="1">
      <c r="A1070" s="342"/>
      <c r="B1070" s="342"/>
      <c r="C1070" s="1009" t="s">
        <v>1834</v>
      </c>
      <c r="D1070" s="1009"/>
      <c r="E1070" s="1009"/>
      <c r="F1070" s="1009"/>
      <c r="G1070" s="430" t="s">
        <v>246</v>
      </c>
      <c r="H1070" s="431">
        <v>1.1000000000000001</v>
      </c>
      <c r="I1070" s="432"/>
      <c r="J1070" s="432"/>
      <c r="K1070" s="310"/>
      <c r="L1070" s="310">
        <f>3.9+1.8</f>
        <v>5.7</v>
      </c>
      <c r="M1070" s="587"/>
      <c r="N1070" s="592"/>
      <c r="O1070" s="592"/>
    </row>
    <row r="1071" spans="1:15" ht="16.5" customHeight="1">
      <c r="A1071" s="342"/>
      <c r="B1071" s="342"/>
      <c r="C1071" s="1009" t="s">
        <v>1835</v>
      </c>
      <c r="D1071" s="1009"/>
      <c r="E1071" s="1009"/>
      <c r="F1071" s="1009"/>
      <c r="G1071" s="430" t="s">
        <v>246</v>
      </c>
      <c r="H1071" s="431">
        <v>1.1000000000000001</v>
      </c>
      <c r="I1071" s="432"/>
      <c r="J1071" s="432"/>
      <c r="K1071" s="310"/>
      <c r="L1071" s="310">
        <f>3.9+1.8</f>
        <v>5.7</v>
      </c>
      <c r="M1071" s="587"/>
      <c r="N1071" s="592"/>
      <c r="O1071" s="592"/>
    </row>
    <row r="1072" spans="1:15" ht="16.5" customHeight="1">
      <c r="A1072" s="342"/>
      <c r="B1072" s="342"/>
      <c r="C1072" s="1009" t="s">
        <v>1836</v>
      </c>
      <c r="D1072" s="1009"/>
      <c r="E1072" s="1009"/>
      <c r="F1072" s="1009"/>
      <c r="G1072" s="430" t="s">
        <v>246</v>
      </c>
      <c r="H1072" s="431">
        <v>1.1000000000000001</v>
      </c>
      <c r="I1072" s="432"/>
      <c r="J1072" s="432"/>
      <c r="K1072" s="310"/>
      <c r="L1072" s="310">
        <f>0.75+5.15</f>
        <v>5.9</v>
      </c>
      <c r="M1072" s="587"/>
      <c r="N1072" s="592"/>
      <c r="O1072" s="592"/>
    </row>
    <row r="1073" spans="1:15" ht="16.5" customHeight="1">
      <c r="A1073" s="342"/>
      <c r="B1073" s="342"/>
      <c r="C1073" s="1009" t="s">
        <v>1837</v>
      </c>
      <c r="D1073" s="1009"/>
      <c r="E1073" s="1009"/>
      <c r="F1073" s="1009"/>
      <c r="G1073" s="430" t="s">
        <v>246</v>
      </c>
      <c r="H1073" s="431">
        <v>1.1000000000000001</v>
      </c>
      <c r="I1073" s="432"/>
      <c r="J1073" s="432"/>
      <c r="K1073" s="310"/>
      <c r="L1073" s="310">
        <f>5.15</f>
        <v>5.15</v>
      </c>
      <c r="M1073" s="587"/>
      <c r="N1073" s="592"/>
      <c r="O1073" s="592"/>
    </row>
    <row r="1074" spans="1:15" ht="16.5" customHeight="1">
      <c r="A1074" s="342"/>
      <c r="B1074" s="342"/>
      <c r="C1074" s="1009" t="s">
        <v>1838</v>
      </c>
      <c r="D1074" s="1009"/>
      <c r="E1074" s="1009"/>
      <c r="F1074" s="1009"/>
      <c r="G1074" s="430" t="s">
        <v>246</v>
      </c>
      <c r="H1074" s="431">
        <v>1.1000000000000001</v>
      </c>
      <c r="I1074" s="432"/>
      <c r="J1074" s="432"/>
      <c r="K1074" s="310"/>
      <c r="L1074" s="310">
        <f>1.85+1.2</f>
        <v>3.05</v>
      </c>
      <c r="M1074" s="587"/>
      <c r="N1074" s="592"/>
      <c r="O1074" s="592"/>
    </row>
    <row r="1075" spans="1:15" ht="16.5" customHeight="1">
      <c r="A1075" s="342"/>
      <c r="B1075" s="342"/>
      <c r="C1075" s="1009" t="s">
        <v>1839</v>
      </c>
      <c r="D1075" s="1009"/>
      <c r="E1075" s="1009"/>
      <c r="F1075" s="1009"/>
      <c r="G1075" s="430" t="s">
        <v>246</v>
      </c>
      <c r="H1075" s="431">
        <v>1.1000000000000001</v>
      </c>
      <c r="I1075" s="432"/>
      <c r="J1075" s="432"/>
      <c r="K1075" s="310"/>
      <c r="L1075" s="310">
        <f>5.15</f>
        <v>5.15</v>
      </c>
      <c r="M1075" s="587"/>
      <c r="N1075" s="592"/>
      <c r="O1075" s="592"/>
    </row>
    <row r="1076" spans="1:15" ht="16.5" customHeight="1">
      <c r="A1076" s="342"/>
      <c r="B1076" s="342"/>
      <c r="C1076" s="1009" t="s">
        <v>1840</v>
      </c>
      <c r="D1076" s="1009"/>
      <c r="E1076" s="1009"/>
      <c r="F1076" s="1009"/>
      <c r="G1076" s="430" t="s">
        <v>246</v>
      </c>
      <c r="H1076" s="431">
        <v>1.1000000000000001</v>
      </c>
      <c r="I1076" s="432"/>
      <c r="J1076" s="432"/>
      <c r="K1076" s="310"/>
      <c r="L1076" s="310">
        <f>1.85+1.2</f>
        <v>3.05</v>
      </c>
      <c r="M1076" s="587"/>
      <c r="N1076" s="592"/>
      <c r="O1076" s="592"/>
    </row>
    <row r="1077" spans="1:15" ht="16.5" customHeight="1">
      <c r="A1077" s="342"/>
      <c r="B1077" s="342"/>
      <c r="C1077" s="1013" t="s">
        <v>1841</v>
      </c>
      <c r="D1077" s="1013"/>
      <c r="E1077" s="1013"/>
      <c r="F1077" s="1013"/>
      <c r="G1077" s="430" t="s">
        <v>246</v>
      </c>
      <c r="H1077" s="431">
        <v>1.1000000000000001</v>
      </c>
      <c r="I1077" s="607"/>
      <c r="J1077" s="607"/>
      <c r="K1077" s="310"/>
      <c r="L1077" s="310">
        <f>12.3+8.02</f>
        <v>20.32</v>
      </c>
      <c r="M1077" s="587"/>
      <c r="N1077" s="592"/>
      <c r="O1077" s="592"/>
    </row>
    <row r="1078" spans="1:15" ht="16.5" customHeight="1">
      <c r="A1078" s="342"/>
      <c r="B1078" s="342"/>
      <c r="C1078" s="1013" t="s">
        <v>1825</v>
      </c>
      <c r="D1078" s="1013"/>
      <c r="E1078" s="1013"/>
      <c r="F1078" s="1013"/>
      <c r="G1078" s="430" t="s">
        <v>246</v>
      </c>
      <c r="H1078" s="431">
        <v>2.1</v>
      </c>
      <c r="I1078" s="607"/>
      <c r="J1078" s="607"/>
      <c r="K1078" s="310"/>
      <c r="L1078" s="310">
        <f>4.35+5.8</f>
        <v>10.149999999999999</v>
      </c>
      <c r="M1078" s="587"/>
      <c r="N1078" s="592"/>
      <c r="O1078" s="592"/>
    </row>
    <row r="1079" spans="1:15" ht="16.5" customHeight="1">
      <c r="A1079" s="342"/>
      <c r="B1079" s="342"/>
      <c r="C1079" s="1013" t="s">
        <v>1824</v>
      </c>
      <c r="D1079" s="1013"/>
      <c r="E1079" s="1013"/>
      <c r="F1079" s="1013"/>
      <c r="G1079" s="430" t="s">
        <v>246</v>
      </c>
      <c r="H1079" s="431">
        <v>3.1</v>
      </c>
      <c r="I1079" s="607"/>
      <c r="J1079" s="607"/>
      <c r="K1079" s="310"/>
      <c r="L1079" s="310">
        <f>5.33</f>
        <v>5.33</v>
      </c>
      <c r="M1079" s="587"/>
      <c r="N1079" s="592"/>
      <c r="O1079" s="592"/>
    </row>
    <row r="1080" spans="1:15" ht="16.5" customHeight="1">
      <c r="A1080" s="342"/>
      <c r="B1080" s="342"/>
      <c r="C1080" s="1013" t="s">
        <v>1822</v>
      </c>
      <c r="D1080" s="1013"/>
      <c r="E1080" s="1013"/>
      <c r="F1080" s="1013"/>
      <c r="G1080" s="430" t="s">
        <v>246</v>
      </c>
      <c r="H1080" s="431">
        <v>4.0999999999999996</v>
      </c>
      <c r="I1080" s="607"/>
      <c r="J1080" s="607"/>
      <c r="K1080" s="310"/>
      <c r="L1080" s="310">
        <f>4.84</f>
        <v>4.84</v>
      </c>
      <c r="M1080" s="587"/>
      <c r="N1080" s="592"/>
      <c r="O1080" s="592"/>
    </row>
    <row r="1081" spans="1:15" ht="16.5" customHeight="1">
      <c r="A1081" s="342"/>
      <c r="B1081" s="342"/>
      <c r="C1081" s="1013" t="s">
        <v>1823</v>
      </c>
      <c r="D1081" s="1013"/>
      <c r="E1081" s="1013"/>
      <c r="F1081" s="1013"/>
      <c r="G1081" s="430" t="s">
        <v>246</v>
      </c>
      <c r="H1081" s="431">
        <v>5.0999999999999996</v>
      </c>
      <c r="I1081" s="607"/>
      <c r="J1081" s="607"/>
      <c r="K1081" s="310"/>
      <c r="L1081" s="310">
        <f>1.9+1.45</f>
        <v>3.3499999999999996</v>
      </c>
      <c r="M1081" s="587"/>
      <c r="N1081" s="592"/>
      <c r="O1081" s="592"/>
    </row>
    <row r="1082" spans="1:15" ht="16.5" customHeight="1">
      <c r="A1082" s="342"/>
      <c r="B1082" s="342"/>
      <c r="C1082" s="1013" t="s">
        <v>1842</v>
      </c>
      <c r="D1082" s="1013"/>
      <c r="E1082" s="1013"/>
      <c r="F1082" s="1013"/>
      <c r="G1082" s="430" t="s">
        <v>246</v>
      </c>
      <c r="H1082" s="431">
        <v>6.1</v>
      </c>
      <c r="I1082" s="607"/>
      <c r="J1082" s="607"/>
      <c r="K1082" s="310"/>
      <c r="L1082" s="310">
        <f>9.63+4.22+4.37</f>
        <v>18.220000000000002</v>
      </c>
      <c r="M1082" s="587"/>
      <c r="N1082" s="592"/>
      <c r="O1082" s="592"/>
    </row>
    <row r="1083" spans="1:15" ht="16.5" customHeight="1">
      <c r="A1083" s="342"/>
      <c r="B1083" s="342"/>
      <c r="C1083" s="1013" t="s">
        <v>1843</v>
      </c>
      <c r="D1083" s="1013"/>
      <c r="E1083" s="1013"/>
      <c r="F1083" s="1013"/>
      <c r="G1083" s="430" t="s">
        <v>246</v>
      </c>
      <c r="H1083" s="431">
        <v>7.1</v>
      </c>
      <c r="I1083" s="607"/>
      <c r="J1083" s="607"/>
      <c r="K1083" s="310"/>
      <c r="L1083" s="310">
        <v>2.65</v>
      </c>
      <c r="M1083" s="587"/>
      <c r="N1083" s="592"/>
      <c r="O1083" s="592"/>
    </row>
    <row r="1084" spans="1:15" ht="16.5" customHeight="1">
      <c r="A1084" s="342"/>
      <c r="B1084" s="342"/>
      <c r="C1084" s="1013" t="s">
        <v>1844</v>
      </c>
      <c r="D1084" s="1013"/>
      <c r="E1084" s="1013"/>
      <c r="F1084" s="1013"/>
      <c r="G1084" s="430" t="s">
        <v>246</v>
      </c>
      <c r="H1084" s="431">
        <v>8.1</v>
      </c>
      <c r="I1084" s="607"/>
      <c r="J1084" s="607"/>
      <c r="K1084" s="310"/>
      <c r="L1084" s="310">
        <f>12.58</f>
        <v>12.58</v>
      </c>
      <c r="M1084" s="587"/>
      <c r="N1084" s="592"/>
      <c r="O1084" s="592"/>
    </row>
    <row r="1085" spans="1:15" ht="16.5" customHeight="1">
      <c r="A1085" s="342"/>
      <c r="B1085" s="342"/>
      <c r="C1085" s="1013" t="s">
        <v>1843</v>
      </c>
      <c r="D1085" s="1013"/>
      <c r="E1085" s="1013"/>
      <c r="F1085" s="1013"/>
      <c r="G1085" s="430" t="s">
        <v>246</v>
      </c>
      <c r="H1085" s="431">
        <v>8.1</v>
      </c>
      <c r="I1085" s="607"/>
      <c r="J1085" s="607"/>
      <c r="K1085" s="310"/>
      <c r="L1085" s="310">
        <f>2.65*2</f>
        <v>5.3</v>
      </c>
      <c r="M1085" s="587"/>
      <c r="N1085" s="592"/>
      <c r="O1085" s="592"/>
    </row>
    <row r="1086" spans="1:15" ht="16.5" customHeight="1">
      <c r="A1086" s="342"/>
      <c r="B1086" s="342"/>
      <c r="C1086" s="1013" t="s">
        <v>1842</v>
      </c>
      <c r="D1086" s="1013"/>
      <c r="E1086" s="1013"/>
      <c r="F1086" s="1013"/>
      <c r="G1086" s="430" t="s">
        <v>246</v>
      </c>
      <c r="H1086" s="431">
        <v>8.1</v>
      </c>
      <c r="I1086" s="607"/>
      <c r="J1086" s="607"/>
      <c r="K1086" s="310"/>
      <c r="L1086" s="310">
        <f>(4.37*2)+9.63+9.705</f>
        <v>28.075000000000003</v>
      </c>
      <c r="M1086" s="587"/>
      <c r="N1086" s="592"/>
      <c r="O1086" s="592"/>
    </row>
    <row r="1087" spans="1:15" ht="16.5" customHeight="1">
      <c r="A1087" s="342"/>
      <c r="B1087" s="342"/>
      <c r="C1087" s="1013" t="s">
        <v>1845</v>
      </c>
      <c r="D1087" s="1013"/>
      <c r="E1087" s="1013"/>
      <c r="F1087" s="1013"/>
      <c r="G1087" s="430" t="s">
        <v>246</v>
      </c>
      <c r="H1087" s="431">
        <v>8.1</v>
      </c>
      <c r="I1087" s="607"/>
      <c r="J1087" s="607"/>
      <c r="K1087" s="310"/>
      <c r="L1087" s="310">
        <f>(1.9*2)+2.3+4.27</f>
        <v>10.37</v>
      </c>
      <c r="M1087" s="587"/>
      <c r="N1087" s="592"/>
      <c r="O1087" s="592"/>
    </row>
    <row r="1088" spans="1:15" ht="30.75" customHeight="1">
      <c r="A1088" s="377">
        <f>ORÇAMENTO!A117</f>
        <v>93203</v>
      </c>
      <c r="B1088" s="377" t="str">
        <f>ORÇAMENTO!C117</f>
        <v>6.02.06</v>
      </c>
      <c r="C1088" s="1003" t="str">
        <f>ORÇAMENTO!D117</f>
        <v>FIXAÇÃO (ENCUNHAMENTO) DE ALVENARIA DE VEDAÇÃO COM ESPUMA DE POLIURETANO EXPANSIVA. AF_03/2016</v>
      </c>
      <c r="D1088" s="1003"/>
      <c r="E1088" s="1003"/>
      <c r="F1088" s="1003"/>
      <c r="G1088" s="377" t="s">
        <v>246</v>
      </c>
      <c r="H1088" s="377"/>
      <c r="I1088" s="379"/>
      <c r="J1088" s="380"/>
      <c r="K1088" s="379"/>
      <c r="L1088" s="429">
        <f>SUM(L1089:L1128)</f>
        <v>436.82409999999987</v>
      </c>
      <c r="M1088" s="379"/>
      <c r="N1088" s="379"/>
      <c r="O1088" s="379"/>
    </row>
    <row r="1089" spans="1:15" ht="16.5" customHeight="1">
      <c r="A1089" s="342"/>
      <c r="B1089" s="342"/>
      <c r="C1089" s="1028" t="s">
        <v>1812</v>
      </c>
      <c r="D1089" s="1028"/>
      <c r="E1089" s="1028"/>
      <c r="F1089" s="1028"/>
      <c r="G1089" s="430"/>
      <c r="H1089" s="431"/>
      <c r="I1089" s="432"/>
      <c r="J1089" s="432"/>
      <c r="K1089" s="310"/>
      <c r="L1089" s="310"/>
      <c r="M1089" s="587"/>
      <c r="N1089" s="592"/>
      <c r="O1089" s="592"/>
    </row>
    <row r="1090" spans="1:15" ht="16.5" customHeight="1">
      <c r="A1090" s="342"/>
      <c r="B1090" s="391"/>
      <c r="C1090" s="1009" t="s">
        <v>1813</v>
      </c>
      <c r="D1090" s="1009"/>
      <c r="E1090" s="1009"/>
      <c r="F1090" s="1009"/>
      <c r="G1090" s="430" t="s">
        <v>246</v>
      </c>
      <c r="H1090" s="431">
        <v>1.1000000000000001</v>
      </c>
      <c r="I1090" s="432"/>
      <c r="J1090" s="432"/>
      <c r="K1090" s="310"/>
      <c r="L1090" s="310">
        <f>17.68+3.35+12.55+4.2+20.7+1.4+3.9+1.1+2.05+3.6+1.612+11.935+2.5036+5.3+12.3+5.3+3.05+5.8+15.48+4.84+6.35</f>
        <v>145.00059999999996</v>
      </c>
      <c r="M1090" s="608"/>
      <c r="N1090" s="592"/>
      <c r="O1090" s="592"/>
    </row>
    <row r="1091" spans="1:15" ht="16.5" customHeight="1">
      <c r="A1091" s="342"/>
      <c r="B1091" s="391"/>
      <c r="C1091" s="1009" t="s">
        <v>1814</v>
      </c>
      <c r="D1091" s="1009"/>
      <c r="E1091" s="1009"/>
      <c r="F1091" s="1009"/>
      <c r="G1091" s="430" t="s">
        <v>246</v>
      </c>
      <c r="H1091" s="431"/>
      <c r="I1091" s="432"/>
      <c r="J1091" s="432"/>
      <c r="K1091" s="310"/>
      <c r="L1091" s="310">
        <f>4.4+1.97</f>
        <v>6.37</v>
      </c>
      <c r="M1091" s="608"/>
      <c r="N1091" s="592"/>
      <c r="O1091" s="592"/>
    </row>
    <row r="1092" spans="1:15" ht="16.5" customHeight="1">
      <c r="A1092" s="342"/>
      <c r="B1092" s="391"/>
      <c r="C1092" s="1009" t="s">
        <v>1815</v>
      </c>
      <c r="D1092" s="1009"/>
      <c r="E1092" s="1009"/>
      <c r="F1092" s="1009"/>
      <c r="G1092" s="430" t="s">
        <v>246</v>
      </c>
      <c r="H1092" s="431"/>
      <c r="I1092" s="432"/>
      <c r="J1092" s="432"/>
      <c r="K1092" s="310"/>
      <c r="L1092" s="310">
        <f>3.75+3.2</f>
        <v>6.95</v>
      </c>
      <c r="M1092" s="608"/>
      <c r="N1092" s="592"/>
      <c r="O1092" s="592"/>
    </row>
    <row r="1093" spans="1:15" ht="16.5" customHeight="1">
      <c r="A1093" s="342"/>
      <c r="B1093" s="391"/>
      <c r="C1093" s="1009" t="s">
        <v>1816</v>
      </c>
      <c r="D1093" s="1009"/>
      <c r="E1093" s="1009"/>
      <c r="F1093" s="1009"/>
      <c r="G1093" s="430" t="s">
        <v>246</v>
      </c>
      <c r="H1093" s="431"/>
      <c r="I1093" s="432"/>
      <c r="J1093" s="432"/>
      <c r="K1093" s="310"/>
      <c r="L1093" s="310">
        <f>3.2+2.11</f>
        <v>5.3100000000000005</v>
      </c>
      <c r="M1093" s="608"/>
      <c r="N1093" s="592"/>
      <c r="O1093" s="592"/>
    </row>
    <row r="1094" spans="1:15" ht="16.5" customHeight="1">
      <c r="A1094" s="342"/>
      <c r="B1094" s="391"/>
      <c r="C1094" s="1009" t="s">
        <v>1817</v>
      </c>
      <c r="D1094" s="1009"/>
      <c r="E1094" s="1009"/>
      <c r="F1094" s="1009"/>
      <c r="G1094" s="430" t="s">
        <v>246</v>
      </c>
      <c r="H1094" s="431"/>
      <c r="I1094" s="432"/>
      <c r="J1094" s="432"/>
      <c r="K1094" s="310"/>
      <c r="L1094" s="310">
        <f>3.2+2.11+3.2</f>
        <v>8.5100000000000016</v>
      </c>
      <c r="M1094" s="608"/>
      <c r="N1094" s="592"/>
      <c r="O1094" s="592"/>
    </row>
    <row r="1095" spans="1:15" ht="16.5" customHeight="1">
      <c r="A1095" s="342"/>
      <c r="B1095" s="391"/>
      <c r="C1095" s="1009" t="s">
        <v>1818</v>
      </c>
      <c r="D1095" s="1009"/>
      <c r="E1095" s="1009"/>
      <c r="F1095" s="1009"/>
      <c r="G1095" s="430" t="s">
        <v>246</v>
      </c>
      <c r="H1095" s="431"/>
      <c r="I1095" s="432"/>
      <c r="J1095" s="432"/>
      <c r="K1095" s="310"/>
      <c r="L1095" s="310">
        <f>1.475+1.85</f>
        <v>3.3250000000000002</v>
      </c>
      <c r="M1095" s="608"/>
      <c r="N1095" s="592"/>
      <c r="O1095" s="592"/>
    </row>
    <row r="1096" spans="1:15" ht="16.5" customHeight="1">
      <c r="A1096" s="342"/>
      <c r="B1096" s="391"/>
      <c r="C1096" s="1009" t="s">
        <v>1819</v>
      </c>
      <c r="D1096" s="1009"/>
      <c r="E1096" s="1009"/>
      <c r="F1096" s="1009"/>
      <c r="G1096" s="430" t="s">
        <v>246</v>
      </c>
      <c r="H1096" s="431"/>
      <c r="I1096" s="432"/>
      <c r="J1096" s="432"/>
      <c r="K1096" s="310"/>
      <c r="L1096" s="310">
        <f>2.85+1.2</f>
        <v>4.05</v>
      </c>
      <c r="M1096" s="608"/>
      <c r="N1096" s="592"/>
      <c r="O1096" s="592"/>
    </row>
    <row r="1097" spans="1:15" ht="16.5" customHeight="1">
      <c r="A1097" s="342"/>
      <c r="B1097" s="391"/>
      <c r="C1097" s="1009" t="s">
        <v>1820</v>
      </c>
      <c r="D1097" s="1009"/>
      <c r="E1097" s="1009"/>
      <c r="F1097" s="1009"/>
      <c r="G1097" s="430" t="s">
        <v>246</v>
      </c>
      <c r="H1097" s="431"/>
      <c r="I1097" s="432"/>
      <c r="J1097" s="432"/>
      <c r="K1097" s="310"/>
      <c r="L1097" s="310">
        <f>5.965</f>
        <v>5.9649999999999999</v>
      </c>
      <c r="M1097" s="608"/>
      <c r="N1097" s="592"/>
      <c r="O1097" s="592"/>
    </row>
    <row r="1098" spans="1:15" ht="16.5" customHeight="1">
      <c r="A1098" s="342"/>
      <c r="B1098" s="391"/>
      <c r="C1098" s="1009" t="s">
        <v>1821</v>
      </c>
      <c r="D1098" s="1009"/>
      <c r="E1098" s="1009"/>
      <c r="F1098" s="1009"/>
      <c r="G1098" s="430" t="s">
        <v>246</v>
      </c>
      <c r="H1098" s="431"/>
      <c r="I1098" s="432"/>
      <c r="J1098" s="432"/>
      <c r="K1098" s="310"/>
      <c r="L1098" s="310">
        <f>1.25+2.553+1.75+4.99</f>
        <v>10.542999999999999</v>
      </c>
      <c r="M1098" s="608"/>
      <c r="N1098" s="592"/>
      <c r="O1098" s="592"/>
    </row>
    <row r="1099" spans="1:15" ht="16.5" customHeight="1">
      <c r="A1099" s="342"/>
      <c r="B1099" s="391"/>
      <c r="C1099" s="1009" t="s">
        <v>1822</v>
      </c>
      <c r="D1099" s="1009"/>
      <c r="E1099" s="1009"/>
      <c r="F1099" s="1009"/>
      <c r="G1099" s="430" t="s">
        <v>246</v>
      </c>
      <c r="H1099" s="431"/>
      <c r="I1099" s="432"/>
      <c r="J1099" s="432"/>
      <c r="K1099" s="310"/>
      <c r="L1099" s="310">
        <f>4.84</f>
        <v>4.84</v>
      </c>
      <c r="M1099" s="608"/>
      <c r="N1099" s="592"/>
      <c r="O1099" s="592"/>
    </row>
    <row r="1100" spans="1:15" ht="16.5" customHeight="1">
      <c r="A1100" s="342"/>
      <c r="B1100" s="391"/>
      <c r="C1100" s="1009" t="s">
        <v>1823</v>
      </c>
      <c r="D1100" s="1009"/>
      <c r="E1100" s="1009"/>
      <c r="F1100" s="1009"/>
      <c r="G1100" s="430" t="s">
        <v>246</v>
      </c>
      <c r="H1100" s="431"/>
      <c r="I1100" s="432"/>
      <c r="J1100" s="432"/>
      <c r="K1100" s="310"/>
      <c r="L1100" s="310">
        <f>1.45+1.9</f>
        <v>3.3499999999999996</v>
      </c>
      <c r="M1100" s="608"/>
      <c r="N1100" s="592"/>
      <c r="O1100" s="592"/>
    </row>
    <row r="1101" spans="1:15" ht="16.5" customHeight="1">
      <c r="A1101" s="342"/>
      <c r="B1101" s="391"/>
      <c r="C1101" s="1009" t="s">
        <v>1824</v>
      </c>
      <c r="D1101" s="1009"/>
      <c r="E1101" s="1009"/>
      <c r="F1101" s="1009"/>
      <c r="G1101" s="430" t="s">
        <v>246</v>
      </c>
      <c r="H1101" s="431"/>
      <c r="I1101" s="432"/>
      <c r="J1101" s="432"/>
      <c r="K1101" s="310"/>
      <c r="L1101" s="310">
        <f>5.33</f>
        <v>5.33</v>
      </c>
      <c r="M1101" s="608"/>
      <c r="N1101" s="592"/>
      <c r="O1101" s="592"/>
    </row>
    <row r="1102" spans="1:15" ht="16.5" customHeight="1">
      <c r="A1102" s="342"/>
      <c r="B1102" s="391"/>
      <c r="C1102" s="1009" t="s">
        <v>1825</v>
      </c>
      <c r="D1102" s="1009"/>
      <c r="E1102" s="1009"/>
      <c r="F1102" s="1009"/>
      <c r="G1102" s="430" t="s">
        <v>246</v>
      </c>
      <c r="H1102" s="431"/>
      <c r="I1102" s="432"/>
      <c r="J1102" s="432"/>
      <c r="K1102" s="310"/>
      <c r="L1102" s="310">
        <f>5.35+5.95</f>
        <v>11.3</v>
      </c>
      <c r="M1102" s="608"/>
      <c r="N1102" s="592"/>
      <c r="O1102" s="592"/>
    </row>
    <row r="1103" spans="1:15" ht="16.5" customHeight="1">
      <c r="A1103" s="342"/>
      <c r="B1103" s="391"/>
      <c r="C1103" s="1009" t="s">
        <v>1826</v>
      </c>
      <c r="D1103" s="1009"/>
      <c r="E1103" s="1009"/>
      <c r="F1103" s="1009"/>
      <c r="G1103" s="430" t="s">
        <v>246</v>
      </c>
      <c r="H1103" s="431"/>
      <c r="I1103" s="432"/>
      <c r="J1103" s="432"/>
      <c r="K1103" s="310"/>
      <c r="L1103" s="310">
        <f>2.05+2.7</f>
        <v>4.75</v>
      </c>
      <c r="M1103" s="608"/>
      <c r="N1103" s="592"/>
      <c r="O1103" s="592"/>
    </row>
    <row r="1104" spans="1:15" ht="16.5" customHeight="1">
      <c r="A1104" s="342"/>
      <c r="B1104" s="391"/>
      <c r="C1104" s="1009" t="s">
        <v>1827</v>
      </c>
      <c r="D1104" s="1009"/>
      <c r="E1104" s="1009"/>
      <c r="F1104" s="1009"/>
      <c r="G1104" s="430" t="s">
        <v>246</v>
      </c>
      <c r="H1104" s="431"/>
      <c r="I1104" s="432"/>
      <c r="J1104" s="432"/>
      <c r="K1104" s="310"/>
      <c r="L1104" s="310">
        <f>1.9+2.7</f>
        <v>4.5999999999999996</v>
      </c>
      <c r="M1104" s="608"/>
      <c r="N1104" s="592"/>
      <c r="O1104" s="592"/>
    </row>
    <row r="1105" spans="1:15" ht="16.5" customHeight="1">
      <c r="A1105" s="342"/>
      <c r="B1105" s="391"/>
      <c r="C1105" s="1009" t="s">
        <v>1828</v>
      </c>
      <c r="D1105" s="1009"/>
      <c r="E1105" s="1009"/>
      <c r="F1105" s="1009"/>
      <c r="G1105" s="430" t="s">
        <v>246</v>
      </c>
      <c r="H1105" s="431"/>
      <c r="I1105" s="432"/>
      <c r="J1105" s="432"/>
      <c r="K1105" s="310"/>
      <c r="L1105" s="310">
        <f>1.9+2.7</f>
        <v>4.5999999999999996</v>
      </c>
      <c r="M1105" s="608"/>
      <c r="N1105" s="592"/>
      <c r="O1105" s="592"/>
    </row>
    <row r="1106" spans="1:15" ht="16.5" customHeight="1">
      <c r="A1106" s="342"/>
      <c r="B1106" s="391"/>
      <c r="C1106" s="1009" t="s">
        <v>1829</v>
      </c>
      <c r="D1106" s="1009"/>
      <c r="E1106" s="1009"/>
      <c r="F1106" s="1009"/>
      <c r="G1106" s="430" t="s">
        <v>246</v>
      </c>
      <c r="H1106" s="431"/>
      <c r="I1106" s="432"/>
      <c r="J1106" s="432"/>
      <c r="K1106" s="310"/>
      <c r="L1106" s="310">
        <f>1.275</f>
        <v>1.2749999999999999</v>
      </c>
      <c r="M1106" s="608"/>
      <c r="N1106" s="592"/>
      <c r="O1106" s="592"/>
    </row>
    <row r="1107" spans="1:15" ht="16.5" customHeight="1">
      <c r="A1107" s="342"/>
      <c r="B1107" s="391"/>
      <c r="C1107" s="1009" t="s">
        <v>1830</v>
      </c>
      <c r="D1107" s="1009"/>
      <c r="E1107" s="1009"/>
      <c r="F1107" s="1009"/>
      <c r="G1107" s="430" t="s">
        <v>246</v>
      </c>
      <c r="H1107" s="431">
        <v>2.1</v>
      </c>
      <c r="I1107" s="432"/>
      <c r="J1107" s="432"/>
      <c r="K1107" s="310"/>
      <c r="L1107" s="310">
        <v>7.05</v>
      </c>
      <c r="M1107" s="608"/>
      <c r="N1107" s="592"/>
      <c r="O1107" s="592"/>
    </row>
    <row r="1108" spans="1:15" ht="16.5" customHeight="1">
      <c r="A1108" s="342"/>
      <c r="B1108" s="391"/>
      <c r="C1108" s="1009" t="s">
        <v>1831</v>
      </c>
      <c r="D1108" s="1009"/>
      <c r="E1108" s="1009"/>
      <c r="F1108" s="1009"/>
      <c r="G1108" s="430" t="s">
        <v>246</v>
      </c>
      <c r="H1108" s="431">
        <v>1.1000000000000001</v>
      </c>
      <c r="I1108" s="432"/>
      <c r="J1108" s="432"/>
      <c r="K1108" s="310"/>
      <c r="L1108" s="310">
        <f>10+13.7+10.15</f>
        <v>33.85</v>
      </c>
      <c r="M1108" s="608"/>
      <c r="N1108" s="592"/>
      <c r="O1108" s="592"/>
    </row>
    <row r="1109" spans="1:15" ht="16.5" customHeight="1">
      <c r="A1109" s="342"/>
      <c r="B1109" s="391"/>
      <c r="C1109" s="1009" t="s">
        <v>1832</v>
      </c>
      <c r="D1109" s="1009"/>
      <c r="E1109" s="1009"/>
      <c r="F1109" s="1009"/>
      <c r="G1109" s="430" t="s">
        <v>246</v>
      </c>
      <c r="H1109" s="431">
        <v>1.1000000000000001</v>
      </c>
      <c r="I1109" s="432"/>
      <c r="J1109" s="432"/>
      <c r="K1109" s="310"/>
      <c r="L1109" s="310">
        <f>1.7705+1.25</f>
        <v>3.0205000000000002</v>
      </c>
      <c r="M1109" s="608"/>
      <c r="N1109" s="592"/>
      <c r="O1109" s="592"/>
    </row>
    <row r="1110" spans="1:15" ht="16.5" customHeight="1">
      <c r="A1110" s="342"/>
      <c r="B1110" s="391"/>
      <c r="C1110" s="1009" t="s">
        <v>1833</v>
      </c>
      <c r="D1110" s="1009"/>
      <c r="E1110" s="1009"/>
      <c r="F1110" s="1009"/>
      <c r="G1110" s="430" t="s">
        <v>246</v>
      </c>
      <c r="H1110" s="431">
        <v>1.1000000000000001</v>
      </c>
      <c r="I1110" s="432"/>
      <c r="J1110" s="432"/>
      <c r="K1110" s="310"/>
      <c r="L1110" s="310">
        <v>1.95</v>
      </c>
      <c r="M1110" s="608"/>
      <c r="N1110" s="592"/>
      <c r="O1110" s="592"/>
    </row>
    <row r="1111" spans="1:15" ht="16.5" customHeight="1">
      <c r="A1111" s="342"/>
      <c r="B1111" s="391"/>
      <c r="C1111" s="1009" t="s">
        <v>1834</v>
      </c>
      <c r="D1111" s="1009"/>
      <c r="E1111" s="1009"/>
      <c r="F1111" s="1009"/>
      <c r="G1111" s="430" t="s">
        <v>246</v>
      </c>
      <c r="H1111" s="431">
        <v>1.1000000000000001</v>
      </c>
      <c r="I1111" s="432"/>
      <c r="J1111" s="432"/>
      <c r="K1111" s="310"/>
      <c r="L1111" s="310">
        <f>3.9+1.8</f>
        <v>5.7</v>
      </c>
      <c r="M1111" s="608"/>
      <c r="N1111" s="592"/>
      <c r="O1111" s="592"/>
    </row>
    <row r="1112" spans="1:15" ht="16.5" customHeight="1">
      <c r="A1112" s="342"/>
      <c r="B1112" s="391"/>
      <c r="C1112" s="1009" t="s">
        <v>1835</v>
      </c>
      <c r="D1112" s="1009"/>
      <c r="E1112" s="1009"/>
      <c r="F1112" s="1009"/>
      <c r="G1112" s="430" t="s">
        <v>246</v>
      </c>
      <c r="H1112" s="431">
        <v>1.1000000000000001</v>
      </c>
      <c r="I1112" s="432"/>
      <c r="J1112" s="432"/>
      <c r="K1112" s="310"/>
      <c r="L1112" s="310">
        <f>3.9+1.8</f>
        <v>5.7</v>
      </c>
      <c r="M1112" s="608"/>
      <c r="N1112" s="592"/>
      <c r="O1112" s="592"/>
    </row>
    <row r="1113" spans="1:15" ht="16.5" customHeight="1">
      <c r="A1113" s="342"/>
      <c r="B1113" s="391"/>
      <c r="C1113" s="1009" t="s">
        <v>1836</v>
      </c>
      <c r="D1113" s="1009"/>
      <c r="E1113" s="1009"/>
      <c r="F1113" s="1009"/>
      <c r="G1113" s="430" t="s">
        <v>246</v>
      </c>
      <c r="H1113" s="431">
        <v>1.1000000000000001</v>
      </c>
      <c r="I1113" s="432"/>
      <c r="J1113" s="432"/>
      <c r="K1113" s="310"/>
      <c r="L1113" s="310">
        <f>0.75+5.15</f>
        <v>5.9</v>
      </c>
      <c r="M1113" s="608"/>
      <c r="N1113" s="592"/>
      <c r="O1113" s="592"/>
    </row>
    <row r="1114" spans="1:15" ht="16.5" customHeight="1">
      <c r="A1114" s="342"/>
      <c r="B1114" s="391"/>
      <c r="C1114" s="1009" t="s">
        <v>1837</v>
      </c>
      <c r="D1114" s="1009"/>
      <c r="E1114" s="1009"/>
      <c r="F1114" s="1009"/>
      <c r="G1114" s="430" t="s">
        <v>246</v>
      </c>
      <c r="H1114" s="431">
        <v>1.1000000000000001</v>
      </c>
      <c r="I1114" s="432"/>
      <c r="J1114" s="432"/>
      <c r="K1114" s="310"/>
      <c r="L1114" s="310">
        <f>5.15</f>
        <v>5.15</v>
      </c>
      <c r="M1114" s="608"/>
      <c r="N1114" s="592"/>
      <c r="O1114" s="592"/>
    </row>
    <row r="1115" spans="1:15" ht="16.5" customHeight="1">
      <c r="A1115" s="342"/>
      <c r="B1115" s="391"/>
      <c r="C1115" s="1009" t="s">
        <v>1838</v>
      </c>
      <c r="D1115" s="1009"/>
      <c r="E1115" s="1009"/>
      <c r="F1115" s="1009"/>
      <c r="G1115" s="430" t="s">
        <v>246</v>
      </c>
      <c r="H1115" s="431">
        <v>1.1000000000000001</v>
      </c>
      <c r="I1115" s="432"/>
      <c r="J1115" s="432"/>
      <c r="K1115" s="310"/>
      <c r="L1115" s="310">
        <f>1.85+1.2</f>
        <v>3.05</v>
      </c>
      <c r="M1115" s="608"/>
      <c r="N1115" s="592"/>
      <c r="O1115" s="592"/>
    </row>
    <row r="1116" spans="1:15" ht="16.5" customHeight="1">
      <c r="A1116" s="342"/>
      <c r="B1116" s="391"/>
      <c r="C1116" s="1009" t="s">
        <v>1839</v>
      </c>
      <c r="D1116" s="1009"/>
      <c r="E1116" s="1009"/>
      <c r="F1116" s="1009"/>
      <c r="G1116" s="430" t="s">
        <v>246</v>
      </c>
      <c r="H1116" s="431">
        <v>1.1000000000000001</v>
      </c>
      <c r="I1116" s="432"/>
      <c r="J1116" s="432"/>
      <c r="K1116" s="310"/>
      <c r="L1116" s="310">
        <f>5.15</f>
        <v>5.15</v>
      </c>
      <c r="M1116" s="608"/>
      <c r="N1116" s="592"/>
      <c r="O1116" s="592"/>
    </row>
    <row r="1117" spans="1:15" ht="16.5" customHeight="1">
      <c r="A1117" s="342"/>
      <c r="B1117" s="391"/>
      <c r="C1117" s="1009" t="s">
        <v>1840</v>
      </c>
      <c r="D1117" s="1009"/>
      <c r="E1117" s="1009"/>
      <c r="F1117" s="1009"/>
      <c r="G1117" s="430" t="s">
        <v>246</v>
      </c>
      <c r="H1117" s="431">
        <v>1.1000000000000001</v>
      </c>
      <c r="I1117" s="432"/>
      <c r="J1117" s="432"/>
      <c r="K1117" s="310"/>
      <c r="L1117" s="310">
        <f>1.85+1.2</f>
        <v>3.05</v>
      </c>
      <c r="M1117" s="608"/>
      <c r="N1117" s="592"/>
      <c r="O1117" s="592"/>
    </row>
    <row r="1118" spans="1:15" ht="16.5" customHeight="1">
      <c r="A1118" s="342"/>
      <c r="B1118" s="391"/>
      <c r="C1118" s="1013" t="s">
        <v>1841</v>
      </c>
      <c r="D1118" s="1013"/>
      <c r="E1118" s="1013"/>
      <c r="F1118" s="1013"/>
      <c r="G1118" s="430" t="s">
        <v>246</v>
      </c>
      <c r="H1118" s="431">
        <v>1.1000000000000001</v>
      </c>
      <c r="I1118" s="607"/>
      <c r="J1118" s="607"/>
      <c r="K1118" s="310"/>
      <c r="L1118" s="310">
        <f>12.3+8.02</f>
        <v>20.32</v>
      </c>
      <c r="M1118" s="608"/>
      <c r="N1118" s="592"/>
      <c r="O1118" s="592"/>
    </row>
    <row r="1119" spans="1:15" ht="16.5" customHeight="1">
      <c r="A1119" s="342"/>
      <c r="B1119" s="391"/>
      <c r="C1119" s="1013" t="s">
        <v>1825</v>
      </c>
      <c r="D1119" s="1013"/>
      <c r="E1119" s="1013"/>
      <c r="F1119" s="1013"/>
      <c r="G1119" s="430" t="s">
        <v>246</v>
      </c>
      <c r="H1119" s="431">
        <v>2.1</v>
      </c>
      <c r="I1119" s="607"/>
      <c r="J1119" s="607"/>
      <c r="K1119" s="310"/>
      <c r="L1119" s="310">
        <f>4.35+5.8</f>
        <v>10.149999999999999</v>
      </c>
      <c r="M1119" s="608"/>
      <c r="N1119" s="592"/>
      <c r="O1119" s="592"/>
    </row>
    <row r="1120" spans="1:15" ht="16.5" customHeight="1">
      <c r="A1120" s="342"/>
      <c r="B1120" s="391"/>
      <c r="C1120" s="1013" t="s">
        <v>1824</v>
      </c>
      <c r="D1120" s="1013"/>
      <c r="E1120" s="1013"/>
      <c r="F1120" s="1013"/>
      <c r="G1120" s="430" t="s">
        <v>246</v>
      </c>
      <c r="H1120" s="431">
        <v>3.1</v>
      </c>
      <c r="I1120" s="607"/>
      <c r="J1120" s="607"/>
      <c r="K1120" s="310"/>
      <c r="L1120" s="310">
        <f>5.33</f>
        <v>5.33</v>
      </c>
      <c r="M1120" s="608"/>
      <c r="N1120" s="592"/>
      <c r="O1120" s="592"/>
    </row>
    <row r="1121" spans="1:15" ht="16.5" customHeight="1">
      <c r="A1121" s="342"/>
      <c r="B1121" s="391"/>
      <c r="C1121" s="1013" t="s">
        <v>1822</v>
      </c>
      <c r="D1121" s="1013"/>
      <c r="E1121" s="1013"/>
      <c r="F1121" s="1013"/>
      <c r="G1121" s="430" t="s">
        <v>246</v>
      </c>
      <c r="H1121" s="431">
        <v>4.0999999999999996</v>
      </c>
      <c r="I1121" s="607"/>
      <c r="J1121" s="607"/>
      <c r="K1121" s="310"/>
      <c r="L1121" s="310">
        <f>4.84</f>
        <v>4.84</v>
      </c>
      <c r="M1121" s="608"/>
      <c r="N1121" s="592"/>
      <c r="O1121" s="592"/>
    </row>
    <row r="1122" spans="1:15" ht="16.5" customHeight="1">
      <c r="A1122" s="342"/>
      <c r="B1122" s="391"/>
      <c r="C1122" s="1013" t="s">
        <v>1823</v>
      </c>
      <c r="D1122" s="1013"/>
      <c r="E1122" s="1013"/>
      <c r="F1122" s="1013"/>
      <c r="G1122" s="430" t="s">
        <v>246</v>
      </c>
      <c r="H1122" s="431">
        <v>5.0999999999999996</v>
      </c>
      <c r="I1122" s="607"/>
      <c r="J1122" s="607"/>
      <c r="K1122" s="310"/>
      <c r="L1122" s="310">
        <f>1.9+1.45</f>
        <v>3.3499999999999996</v>
      </c>
      <c r="M1122" s="608"/>
      <c r="N1122" s="592"/>
      <c r="O1122" s="592"/>
    </row>
    <row r="1123" spans="1:15" ht="16.5" customHeight="1">
      <c r="A1123" s="342"/>
      <c r="B1123" s="391"/>
      <c r="C1123" s="1013" t="s">
        <v>1842</v>
      </c>
      <c r="D1123" s="1013"/>
      <c r="E1123" s="1013"/>
      <c r="F1123" s="1013"/>
      <c r="G1123" s="430" t="s">
        <v>246</v>
      </c>
      <c r="H1123" s="431">
        <v>6.1</v>
      </c>
      <c r="I1123" s="607"/>
      <c r="J1123" s="607"/>
      <c r="K1123" s="310"/>
      <c r="L1123" s="310">
        <f>9.63+4.22+4.37</f>
        <v>18.220000000000002</v>
      </c>
      <c r="M1123" s="608"/>
      <c r="N1123" s="592"/>
      <c r="O1123" s="592"/>
    </row>
    <row r="1124" spans="1:15" ht="16.5" customHeight="1">
      <c r="A1124" s="342"/>
      <c r="B1124" s="391"/>
      <c r="C1124" s="1013" t="s">
        <v>1843</v>
      </c>
      <c r="D1124" s="1013"/>
      <c r="E1124" s="1013"/>
      <c r="F1124" s="1013"/>
      <c r="G1124" s="430" t="s">
        <v>246</v>
      </c>
      <c r="H1124" s="431">
        <v>7.1</v>
      </c>
      <c r="I1124" s="607"/>
      <c r="J1124" s="607"/>
      <c r="K1124" s="310"/>
      <c r="L1124" s="310">
        <v>2.65</v>
      </c>
      <c r="M1124" s="608"/>
      <c r="N1124" s="592"/>
      <c r="O1124" s="592"/>
    </row>
    <row r="1125" spans="1:15" ht="16.5" customHeight="1">
      <c r="A1125" s="342"/>
      <c r="B1125" s="391"/>
      <c r="C1125" s="1013" t="s">
        <v>1844</v>
      </c>
      <c r="D1125" s="1013"/>
      <c r="E1125" s="1013"/>
      <c r="F1125" s="1013"/>
      <c r="G1125" s="430" t="s">
        <v>246</v>
      </c>
      <c r="H1125" s="431">
        <v>8.1</v>
      </c>
      <c r="I1125" s="607"/>
      <c r="J1125" s="607"/>
      <c r="K1125" s="310"/>
      <c r="L1125" s="310">
        <f>12.58</f>
        <v>12.58</v>
      </c>
      <c r="M1125" s="608"/>
      <c r="N1125" s="592"/>
      <c r="O1125" s="592"/>
    </row>
    <row r="1126" spans="1:15" ht="16.5" customHeight="1">
      <c r="A1126" s="342"/>
      <c r="B1126" s="391"/>
      <c r="C1126" s="1013" t="s">
        <v>1843</v>
      </c>
      <c r="D1126" s="1013"/>
      <c r="E1126" s="1013"/>
      <c r="F1126" s="1013"/>
      <c r="G1126" s="430" t="s">
        <v>246</v>
      </c>
      <c r="H1126" s="431">
        <v>8.1</v>
      </c>
      <c r="I1126" s="607"/>
      <c r="J1126" s="607"/>
      <c r="K1126" s="310"/>
      <c r="L1126" s="310">
        <f>2.65*2</f>
        <v>5.3</v>
      </c>
      <c r="M1126" s="608"/>
      <c r="N1126" s="592"/>
      <c r="O1126" s="592"/>
    </row>
    <row r="1127" spans="1:15" ht="16.5" customHeight="1">
      <c r="A1127" s="342"/>
      <c r="B1127" s="391"/>
      <c r="C1127" s="1013" t="s">
        <v>1842</v>
      </c>
      <c r="D1127" s="1013"/>
      <c r="E1127" s="1013"/>
      <c r="F1127" s="1013"/>
      <c r="G1127" s="430" t="s">
        <v>246</v>
      </c>
      <c r="H1127" s="431">
        <v>8.1</v>
      </c>
      <c r="I1127" s="607"/>
      <c r="J1127" s="607"/>
      <c r="K1127" s="310"/>
      <c r="L1127" s="310">
        <f>(4.37*2)+9.63+9.705</f>
        <v>28.075000000000003</v>
      </c>
      <c r="M1127" s="608"/>
      <c r="N1127" s="592"/>
      <c r="O1127" s="592"/>
    </row>
    <row r="1128" spans="1:15" ht="16.5" customHeight="1">
      <c r="A1128" s="342"/>
      <c r="B1128" s="391"/>
      <c r="C1128" s="1013" t="s">
        <v>1845</v>
      </c>
      <c r="D1128" s="1013"/>
      <c r="E1128" s="1013"/>
      <c r="F1128" s="1013"/>
      <c r="G1128" s="430" t="s">
        <v>246</v>
      </c>
      <c r="H1128" s="431">
        <v>8.1</v>
      </c>
      <c r="I1128" s="607"/>
      <c r="J1128" s="607"/>
      <c r="K1128" s="310"/>
      <c r="L1128" s="310">
        <f>(1.9*2)+2.3+4.27</f>
        <v>10.37</v>
      </c>
      <c r="M1128" s="608"/>
      <c r="N1128" s="592"/>
      <c r="O1128" s="592"/>
    </row>
    <row r="1129" spans="1:15" ht="47.25" customHeight="1">
      <c r="A1129" s="377">
        <f>ORÇAMENTO!A118</f>
        <v>7369</v>
      </c>
      <c r="B1129" s="377" t="str">
        <f>ORÇAMENTO!C118</f>
        <v>6.02.07</v>
      </c>
      <c r="C1129" s="1014" t="str">
        <f>ORÇAMENTO!D118</f>
        <v>CONCRETO ARMADO FCK=30,0MPA, USINADO, BOMBEADO, ADENSADO E LANÇADO, PARA USO GERAL, COM FORMAS PLANAS EM COMPENSADO RESINADO 12MM (05 USOS)</v>
      </c>
      <c r="D1129" s="1014"/>
      <c r="E1129" s="1014"/>
      <c r="F1129" s="1014"/>
      <c r="G1129" s="435" t="str">
        <f>ORÇAMENTO!E118</f>
        <v>M³</v>
      </c>
      <c r="H1129" s="436"/>
      <c r="I1129" s="304"/>
      <c r="J1129" s="429"/>
      <c r="K1129" s="304"/>
      <c r="L1129" s="304"/>
      <c r="M1129" s="115"/>
      <c r="N1129" s="115"/>
      <c r="O1129" s="115">
        <f>O1130</f>
        <v>0.87750000000000006</v>
      </c>
    </row>
    <row r="1130" spans="1:15" ht="16.5" customHeight="1">
      <c r="A1130" s="918"/>
      <c r="B1130" s="918"/>
      <c r="C1130" s="1027" t="s">
        <v>2722</v>
      </c>
      <c r="D1130" s="1009"/>
      <c r="E1130" s="1009"/>
      <c r="F1130" s="1009"/>
      <c r="G1130" s="343" t="s">
        <v>109</v>
      </c>
      <c r="H1130" s="438"/>
      <c r="I1130" s="432"/>
      <c r="J1130" s="432"/>
      <c r="K1130" s="123"/>
      <c r="L1130" s="123"/>
      <c r="M1130" s="123"/>
      <c r="N1130" s="124"/>
      <c r="O1130" s="124">
        <f>4.5*0.65*0.06*5</f>
        <v>0.87750000000000006</v>
      </c>
    </row>
    <row r="1131" spans="1:15" ht="16.5" customHeight="1">
      <c r="A1131" s="918"/>
      <c r="B1131" s="918"/>
      <c r="C1131" s="1009"/>
      <c r="D1131" s="1009"/>
      <c r="E1131" s="1009"/>
      <c r="F1131" s="1009"/>
      <c r="G1131" s="437"/>
      <c r="H1131" s="438"/>
      <c r="I1131" s="432"/>
      <c r="J1131" s="432"/>
      <c r="K1131" s="123"/>
      <c r="L1131" s="123"/>
      <c r="M1131" s="123"/>
      <c r="N1131" s="124"/>
      <c r="O1131" s="124"/>
    </row>
    <row r="1132" spans="1:15" ht="16.5" customHeight="1">
      <c r="A1132" s="918"/>
      <c r="B1132" s="918"/>
      <c r="C1132" s="1009"/>
      <c r="D1132" s="1009"/>
      <c r="E1132" s="1009"/>
      <c r="F1132" s="1009"/>
      <c r="G1132" s="437"/>
      <c r="H1132" s="438"/>
      <c r="I1132" s="432"/>
      <c r="J1132" s="432"/>
      <c r="K1132" s="123"/>
      <c r="L1132" s="123"/>
      <c r="M1132" s="123"/>
      <c r="N1132" s="124"/>
      <c r="O1132" s="124"/>
    </row>
    <row r="1133" spans="1:15" ht="16.5" customHeight="1">
      <c r="A1133" s="918"/>
      <c r="B1133" s="918"/>
      <c r="C1133" s="1009"/>
      <c r="D1133" s="1009"/>
      <c r="E1133" s="1009"/>
      <c r="F1133" s="1009"/>
      <c r="G1133" s="437"/>
      <c r="H1133" s="438"/>
      <c r="I1133" s="432"/>
      <c r="J1133" s="432"/>
      <c r="K1133" s="123"/>
      <c r="L1133" s="123"/>
      <c r="M1133" s="123"/>
      <c r="N1133" s="124"/>
      <c r="O1133" s="124"/>
    </row>
    <row r="1134" spans="1:15" ht="12.75" customHeight="1">
      <c r="A1134" s="373" t="s">
        <v>11</v>
      </c>
      <c r="B1134" s="374" t="s">
        <v>13</v>
      </c>
      <c r="C1134" s="1037" t="s">
        <v>1443</v>
      </c>
      <c r="D1134" s="1037"/>
      <c r="E1134" s="1037"/>
      <c r="F1134" s="1037"/>
      <c r="G1134" s="434" t="s">
        <v>15</v>
      </c>
      <c r="H1134" s="433" t="s">
        <v>1444</v>
      </c>
      <c r="I1134" s="305" t="s">
        <v>1445</v>
      </c>
      <c r="J1134" s="305" t="s">
        <v>1446</v>
      </c>
      <c r="K1134" s="433" t="s">
        <v>1447</v>
      </c>
      <c r="L1134" s="433" t="s">
        <v>1448</v>
      </c>
      <c r="M1134" s="374" t="s">
        <v>1457</v>
      </c>
      <c r="N1134" s="375" t="s">
        <v>1450</v>
      </c>
      <c r="O1134" s="375" t="s">
        <v>1451</v>
      </c>
    </row>
    <row r="1135" spans="1:15" ht="12.75" customHeight="1">
      <c r="A1135" s="376"/>
      <c r="B1135" s="376" t="str">
        <f>ORÇAMENTO!C119</f>
        <v>7.00</v>
      </c>
      <c r="C1135" s="1028" t="str">
        <f>ORÇAMENTO!D119</f>
        <v>COBERTA</v>
      </c>
      <c r="D1135" s="1028"/>
      <c r="E1135" s="1028"/>
      <c r="F1135" s="1028"/>
      <c r="G1135" s="1040"/>
      <c r="H1135" s="1040"/>
      <c r="I1135" s="1040"/>
      <c r="J1135" s="1040"/>
      <c r="K1135" s="1040"/>
      <c r="L1135" s="1040"/>
      <c r="M1135" s="1040"/>
      <c r="N1135" s="1040"/>
      <c r="O1135" s="1040"/>
    </row>
    <row r="1136" spans="1:15" ht="49.5" customHeight="1">
      <c r="A1136" s="377">
        <f>ORÇAMENTO!A120</f>
        <v>12732</v>
      </c>
      <c r="B1136" s="377" t="str">
        <f>ORÇAMENTO!C120</f>
        <v>7.01</v>
      </c>
      <c r="C1136" s="1014" t="str">
        <f>ORÇAMENTO!D120</f>
        <v>TELHAMENTO COM TELHA EM AÇO GALVALUME, DUPLA, TRAPEZOIDAL, COM PREENCHIMENTO PIR 20MM, PRÉ-PINTADA, TP40 - 2 X 0,43MM, KINGSPAN- ISOESTE OU SIMILAR</v>
      </c>
      <c r="D1136" s="1014"/>
      <c r="E1136" s="1014"/>
      <c r="F1136" s="1014"/>
      <c r="G1136" s="435" t="str">
        <f>ORÇAMENTO!E120</f>
        <v>M²</v>
      </c>
      <c r="H1136" s="436"/>
      <c r="I1136" s="304"/>
      <c r="J1136" s="429"/>
      <c r="K1136" s="304"/>
      <c r="L1136" s="304"/>
      <c r="M1136" s="115"/>
      <c r="N1136" s="115">
        <f>N1137</f>
        <v>70.040000000000006</v>
      </c>
      <c r="O1136" s="116"/>
    </row>
    <row r="1137" spans="1:15" ht="15" customHeight="1">
      <c r="A1137" s="342"/>
      <c r="B1137" s="342"/>
      <c r="C1137" s="1009" t="s">
        <v>1881</v>
      </c>
      <c r="D1137" s="1009"/>
      <c r="E1137" s="1009"/>
      <c r="F1137" s="1009"/>
      <c r="G1137" s="437" t="s">
        <v>61</v>
      </c>
      <c r="H1137" s="438"/>
      <c r="I1137" s="432">
        <v>10.3</v>
      </c>
      <c r="J1137" s="432">
        <v>6.8</v>
      </c>
      <c r="K1137" s="123"/>
      <c r="L1137" s="123"/>
      <c r="M1137" s="123"/>
      <c r="N1137" s="124">
        <f>I1137*J1137</f>
        <v>70.040000000000006</v>
      </c>
      <c r="O1137" s="124"/>
    </row>
    <row r="1138" spans="1:15" ht="63" customHeight="1">
      <c r="A1138" s="377">
        <f>ORÇAMENTO!A121</f>
        <v>12508</v>
      </c>
      <c r="B1138" s="377" t="str">
        <f>ORÇAMENTO!C121</f>
        <v>7.02</v>
      </c>
      <c r="C1138" s="1014" t="str">
        <f>ORÇAMENTO!D121</f>
        <v>ESTRUTURA METÁLICA P/ COBERTURA C/VIGAS-TRELIÇA PRATT UDC75 E TERÇAS EM UDC 127, 2 ÁGUAS, SEM LANTERNIN, VÃOS 6,0 A 10,0M, PINTADO 1 D OXIDO FERRO + 2 D ESMALTE EPÓXI BRANCO, EXCETO FORN. TELHAS - EXECUTADA</v>
      </c>
      <c r="D1138" s="1014"/>
      <c r="E1138" s="1014"/>
      <c r="F1138" s="1014"/>
      <c r="G1138" s="435" t="str">
        <f>ORÇAMENTO!E121</f>
        <v>M²</v>
      </c>
      <c r="H1138" s="436"/>
      <c r="I1138" s="304"/>
      <c r="J1138" s="429"/>
      <c r="K1138" s="304"/>
      <c r="L1138" s="304"/>
      <c r="M1138" s="115"/>
      <c r="N1138" s="115">
        <f>N1139</f>
        <v>70.040000000000006</v>
      </c>
      <c r="O1138" s="116"/>
    </row>
    <row r="1139" spans="1:15" ht="15" customHeight="1">
      <c r="A1139" s="342"/>
      <c r="B1139" s="342"/>
      <c r="C1139" s="1009" t="s">
        <v>1881</v>
      </c>
      <c r="D1139" s="1009"/>
      <c r="E1139" s="1009"/>
      <c r="F1139" s="1009"/>
      <c r="G1139" s="437" t="s">
        <v>61</v>
      </c>
      <c r="H1139" s="438"/>
      <c r="I1139" s="432">
        <v>10.3</v>
      </c>
      <c r="J1139" s="432">
        <v>6.8</v>
      </c>
      <c r="K1139" s="123"/>
      <c r="L1139" s="123"/>
      <c r="M1139" s="123"/>
      <c r="N1139" s="124">
        <f>I1139*J1139</f>
        <v>70.040000000000006</v>
      </c>
      <c r="O1139" s="124"/>
    </row>
    <row r="1140" spans="1:15" ht="39" customHeight="1">
      <c r="A1140" s="377">
        <f>ORÇAMENTO!A122</f>
        <v>100435</v>
      </c>
      <c r="B1140" s="377" t="str">
        <f>ORÇAMENTO!C122</f>
        <v>7.03</v>
      </c>
      <c r="C1140" s="1014" t="str">
        <f>ORÇAMENTO!D122</f>
        <v>RUFO EM FIBROCIMENTO PARA TELHA ONDULADA E = 6 MM, ABA DE 26 CM, INCLUSO TRANSPORTE VERTICAL, EXCETO CONTRARRUFO. AF_07/2019</v>
      </c>
      <c r="D1140" s="1014"/>
      <c r="E1140" s="1014"/>
      <c r="F1140" s="1014"/>
      <c r="G1140" s="435" t="str">
        <f>ORÇAMENTO!E122</f>
        <v>M</v>
      </c>
      <c r="H1140" s="436"/>
      <c r="I1140" s="304"/>
      <c r="J1140" s="429">
        <f>J1141</f>
        <v>12.49</v>
      </c>
      <c r="K1140" s="304"/>
      <c r="L1140" s="304"/>
      <c r="M1140" s="115"/>
      <c r="N1140" s="115"/>
      <c r="O1140" s="116"/>
    </row>
    <row r="1141" spans="1:15" ht="21" customHeight="1">
      <c r="A1141" s="342"/>
      <c r="B1141" s="342"/>
      <c r="C1141" s="1009" t="s">
        <v>1881</v>
      </c>
      <c r="D1141" s="1009"/>
      <c r="E1141" s="1009"/>
      <c r="F1141" s="1009"/>
      <c r="G1141" s="437" t="s">
        <v>246</v>
      </c>
      <c r="H1141" s="438"/>
      <c r="I1141" s="432"/>
      <c r="J1141" s="310">
        <v>12.49</v>
      </c>
      <c r="K1141" s="123"/>
      <c r="L1141" s="123"/>
      <c r="M1141" s="123"/>
      <c r="N1141" s="124"/>
      <c r="O1141" s="124"/>
    </row>
    <row r="1142" spans="1:15" ht="33.75" customHeight="1">
      <c r="A1142" s="377">
        <f>ORÇAMENTO!A123</f>
        <v>9753</v>
      </c>
      <c r="B1142" s="377" t="str">
        <f>ORÇAMENTO!C123</f>
        <v>7.04</v>
      </c>
      <c r="C1142" s="1003" t="str">
        <f>ORÇAMENTO!D123</f>
        <v>CHAPIM DE GRANITO CINZA ANDORINHA, C/ LARGURA = 22 CM, ESP. = 2 CM</v>
      </c>
      <c r="D1142" s="1003"/>
      <c r="E1142" s="1003"/>
      <c r="F1142" s="1003"/>
      <c r="G1142" s="425" t="str">
        <f>ORÇAMENTO!E123</f>
        <v>M</v>
      </c>
      <c r="H1142" s="383"/>
      <c r="I1142" s="115"/>
      <c r="J1142" s="380"/>
      <c r="K1142" s="115"/>
      <c r="L1142" s="115">
        <f>L1143</f>
        <v>199.74789999999999</v>
      </c>
      <c r="M1142" s="115"/>
      <c r="N1142" s="115"/>
      <c r="O1142" s="116"/>
    </row>
    <row r="1143" spans="1:15" ht="16.5" customHeight="1">
      <c r="A1143" s="342"/>
      <c r="B1143" s="342"/>
      <c r="C1143" s="1024" t="s">
        <v>1882</v>
      </c>
      <c r="D1143" s="1024"/>
      <c r="E1143" s="1024"/>
      <c r="F1143" s="1024"/>
      <c r="G1143" s="343" t="s">
        <v>246</v>
      </c>
      <c r="H1143" s="385"/>
      <c r="I1143" s="400"/>
      <c r="J1143" s="400"/>
      <c r="K1143" s="123"/>
      <c r="L1143" s="123">
        <f>128.4497+30.1466+12.45+14.3508+14.3508</f>
        <v>199.74789999999999</v>
      </c>
      <c r="M1143" s="123"/>
      <c r="N1143" s="124"/>
      <c r="O1143" s="124"/>
    </row>
    <row r="1144" spans="1:15" ht="16.5" customHeight="1">
      <c r="A1144" s="377">
        <f>ORÇAMENTO!A124</f>
        <v>8637</v>
      </c>
      <c r="B1144" s="377" t="str">
        <f>ORÇAMENTO!C124</f>
        <v>7.05</v>
      </c>
      <c r="C1144" s="1003" t="str">
        <f>ORÇAMENTO!D124</f>
        <v>CHAPIM DE CONCRETO PRÉ-MOLDADO</v>
      </c>
      <c r="D1144" s="1003"/>
      <c r="E1144" s="1003"/>
      <c r="F1144" s="1003"/>
      <c r="G1144" s="425" t="str">
        <f>ORÇAMENTO!E124</f>
        <v>M²</v>
      </c>
      <c r="H1144" s="383"/>
      <c r="I1144" s="115"/>
      <c r="J1144" s="380"/>
      <c r="K1144" s="115"/>
      <c r="L1144" s="115">
        <f>SUM(L1145:L1147)</f>
        <v>107.79929999999999</v>
      </c>
      <c r="M1144" s="115"/>
      <c r="N1144" s="115"/>
      <c r="O1144" s="116"/>
    </row>
    <row r="1145" spans="1:15" ht="16.5" customHeight="1">
      <c r="A1145" s="342"/>
      <c r="B1145" s="342"/>
      <c r="C1145" s="1000" t="s">
        <v>1852</v>
      </c>
      <c r="D1145" s="1000"/>
      <c r="E1145" s="1000"/>
      <c r="F1145" s="1000"/>
      <c r="G1145" s="338" t="s">
        <v>61</v>
      </c>
      <c r="H1145" s="422"/>
      <c r="I1145" s="582"/>
      <c r="J1145" s="582"/>
      <c r="K1145" s="123"/>
      <c r="L1145" s="117">
        <f>24.5386+2.9365</f>
        <v>27.475099999999998</v>
      </c>
      <c r="M1145" s="583"/>
      <c r="N1145" s="118"/>
      <c r="O1145" s="124"/>
    </row>
    <row r="1146" spans="1:15" ht="16.5" customHeight="1">
      <c r="A1146" s="342"/>
      <c r="B1146" s="342"/>
      <c r="C1146" s="1000" t="s">
        <v>1853</v>
      </c>
      <c r="D1146" s="1000"/>
      <c r="E1146" s="1000"/>
      <c r="F1146" s="1000"/>
      <c r="G1146" s="338" t="s">
        <v>61</v>
      </c>
      <c r="H1146" s="422"/>
      <c r="I1146" s="582"/>
      <c r="J1146" s="582"/>
      <c r="K1146" s="123"/>
      <c r="L1146" s="117">
        <f>37.9937+3.05+4.65</f>
        <v>45.693699999999993</v>
      </c>
      <c r="M1146" s="583"/>
      <c r="N1146" s="118"/>
      <c r="O1146" s="124"/>
    </row>
    <row r="1147" spans="1:15" ht="16.5" customHeight="1">
      <c r="A1147" s="342"/>
      <c r="B1147" s="342"/>
      <c r="C1147" s="1000" t="s">
        <v>1854</v>
      </c>
      <c r="D1147" s="1000"/>
      <c r="E1147" s="1000"/>
      <c r="F1147" s="1000"/>
      <c r="G1147" s="338" t="s">
        <v>61</v>
      </c>
      <c r="H1147" s="422">
        <v>8.1</v>
      </c>
      <c r="I1147" s="582"/>
      <c r="J1147" s="582"/>
      <c r="K1147" s="123"/>
      <c r="L1147" s="117">
        <v>34.630499999999998</v>
      </c>
      <c r="M1147" s="583"/>
      <c r="N1147" s="118"/>
      <c r="O1147" s="124"/>
    </row>
    <row r="1148" spans="1:15" ht="33.75" customHeight="1">
      <c r="A1148" s="377">
        <f>ORÇAMENTO!A125</f>
        <v>90441</v>
      </c>
      <c r="B1148" s="377" t="str">
        <f>ORÇAMENTO!C125</f>
        <v>7.06</v>
      </c>
      <c r="C1148" s="1003" t="str">
        <f>ORÇAMENTO!D125</f>
        <v>FURO EM CONCRETO PARA DIÂMETROS MAIORES QUE 75 MM. AF_05/2015</v>
      </c>
      <c r="D1148" s="1003"/>
      <c r="E1148" s="1003"/>
      <c r="F1148" s="1003"/>
      <c r="G1148" s="425" t="str">
        <f>ORÇAMENTO!E125</f>
        <v>UN</v>
      </c>
      <c r="H1148" s="380">
        <f>SUM(H1149)</f>
        <v>54</v>
      </c>
      <c r="I1148" s="115"/>
      <c r="J1148" s="380"/>
      <c r="K1148" s="115"/>
      <c r="L1148" s="115"/>
      <c r="M1148" s="115"/>
      <c r="N1148" s="115"/>
      <c r="O1148" s="116"/>
    </row>
    <row r="1149" spans="1:15" s="109" customFormat="1" ht="12.75" customHeight="1">
      <c r="A1149" s="342"/>
      <c r="B1149" s="342"/>
      <c r="C1149" s="1024" t="s">
        <v>1883</v>
      </c>
      <c r="D1149" s="1024"/>
      <c r="E1149" s="1024"/>
      <c r="F1149" s="1024"/>
      <c r="G1149" s="343" t="s">
        <v>96</v>
      </c>
      <c r="H1149" s="401">
        <v>54</v>
      </c>
      <c r="I1149" s="400"/>
      <c r="J1149" s="400"/>
      <c r="K1149" s="123"/>
      <c r="L1149" s="123"/>
      <c r="M1149" s="123"/>
      <c r="N1149" s="124"/>
      <c r="O1149" s="124"/>
    </row>
    <row r="1150" spans="1:15" ht="26.25" customHeight="1">
      <c r="A1150" s="377">
        <f>ORÇAMENTO!A126</f>
        <v>2460</v>
      </c>
      <c r="B1150" s="377" t="str">
        <f>ORÇAMENTO!C126</f>
        <v>7.07</v>
      </c>
      <c r="C1150" s="1003" t="str">
        <f>ORÇAMENTO!D126</f>
        <v>VIGOTA PRÉ-MOLDADA 0.10 X 0.20 M, FORNECIMENTO E INSTALAÇÃO - PERGOLADO</v>
      </c>
      <c r="D1150" s="1003"/>
      <c r="E1150" s="1003"/>
      <c r="F1150" s="1003"/>
      <c r="G1150" s="425" t="str">
        <f>ORÇAMENTO!E126</f>
        <v>M</v>
      </c>
      <c r="H1150" s="380"/>
      <c r="I1150" s="115"/>
      <c r="J1150" s="380"/>
      <c r="K1150" s="115"/>
      <c r="L1150" s="115">
        <f>SUM(L1151:L1153)</f>
        <v>58.800000000000004</v>
      </c>
      <c r="M1150" s="115"/>
      <c r="N1150" s="115"/>
      <c r="O1150" s="116"/>
    </row>
    <row r="1151" spans="1:15" s="109" customFormat="1" ht="17.25" customHeight="1">
      <c r="A1151" s="342"/>
      <c r="B1151" s="342"/>
      <c r="C1151" s="1024" t="s">
        <v>1884</v>
      </c>
      <c r="D1151" s="1024"/>
      <c r="E1151" s="1024"/>
      <c r="F1151" s="1024"/>
      <c r="G1151" s="343" t="s">
        <v>246</v>
      </c>
      <c r="H1151" s="401">
        <v>28</v>
      </c>
      <c r="I1151" s="400"/>
      <c r="J1151" s="400">
        <f>0.15+1.8+0.15</f>
        <v>2.1</v>
      </c>
      <c r="K1151" s="123"/>
      <c r="L1151" s="123">
        <f>J1151*H1151</f>
        <v>58.800000000000004</v>
      </c>
      <c r="M1151" s="123"/>
      <c r="N1151" s="124"/>
      <c r="O1151" s="124"/>
    </row>
    <row r="1152" spans="1:15" ht="25.5" customHeight="1">
      <c r="A1152" s="377">
        <f>ORÇAMENTO!A127</f>
        <v>244</v>
      </c>
      <c r="B1152" s="377" t="str">
        <f>ORÇAMENTO!C127</f>
        <v>7.08</v>
      </c>
      <c r="C1152" s="1003" t="str">
        <f>ORÇAMENTO!D127</f>
        <v>TELHAMENTO COM TELHA TRANSLÚCIDA EM FIBRA DE VIDRO, ONDULADA, 2,44 X 0,50 M, ESP=6MM, FORTLEV OU SIMILAR</v>
      </c>
      <c r="D1152" s="1003"/>
      <c r="E1152" s="1003"/>
      <c r="F1152" s="1003"/>
      <c r="G1152" s="425" t="s">
        <v>61</v>
      </c>
      <c r="H1152" s="380"/>
      <c r="I1152" s="115"/>
      <c r="J1152" s="380"/>
      <c r="K1152" s="115"/>
      <c r="L1152" s="115"/>
      <c r="M1152" s="115"/>
      <c r="N1152" s="115">
        <f>SUM(N1153)</f>
        <v>15.2</v>
      </c>
      <c r="O1152" s="116"/>
    </row>
    <row r="1153" spans="1:15" s="109" customFormat="1" ht="17.25" customHeight="1">
      <c r="A1153" s="342"/>
      <c r="B1153" s="342"/>
      <c r="C1153" s="1038" t="s">
        <v>1885</v>
      </c>
      <c r="D1153" s="1091"/>
      <c r="E1153" s="1091"/>
      <c r="F1153" s="1092"/>
      <c r="G1153" s="343" t="s">
        <v>61</v>
      </c>
      <c r="H1153" s="401"/>
      <c r="I1153" s="400"/>
      <c r="J1153" s="400"/>
      <c r="K1153" s="123"/>
      <c r="L1153" s="123"/>
      <c r="M1153" s="123"/>
      <c r="N1153" s="124">
        <f>7.6*2</f>
        <v>15.2</v>
      </c>
      <c r="O1153" s="124"/>
    </row>
    <row r="1154" spans="1:15" ht="38.25" customHeight="1">
      <c r="A1154" s="377">
        <f>ORÇAMENTO!A128</f>
        <v>10215</v>
      </c>
      <c r="B1154" s="377" t="str">
        <f>ORÇAMENTO!C128</f>
        <v>7.09</v>
      </c>
      <c r="C1154" s="1003" t="str">
        <f>ORÇAMENTO!D128</f>
        <v>MADEIRAMENTO EM MASSARANDUBA/MADEIRA DE LEI, ACABAMENTO SERRADO C/ RIPÃO 5,5 X 3,5CM E RIPA 4 X 1,5CM, EXCLUSIVE PEÇAS PRINCIPAIS</v>
      </c>
      <c r="D1154" s="1003"/>
      <c r="E1154" s="1003"/>
      <c r="F1154" s="1003"/>
      <c r="G1154" s="425" t="s">
        <v>61</v>
      </c>
      <c r="H1154" s="380"/>
      <c r="I1154" s="115"/>
      <c r="J1154" s="380"/>
      <c r="K1154" s="115"/>
      <c r="L1154" s="115"/>
      <c r="M1154" s="115"/>
      <c r="N1154" s="115">
        <f>SUM(N1155)</f>
        <v>15.2</v>
      </c>
      <c r="O1154" s="116"/>
    </row>
    <row r="1155" spans="1:15" s="109" customFormat="1" ht="17.25" customHeight="1">
      <c r="A1155" s="342"/>
      <c r="B1155" s="342"/>
      <c r="C1155" s="1038" t="s">
        <v>1885</v>
      </c>
      <c r="D1155" s="1091"/>
      <c r="E1155" s="1091"/>
      <c r="F1155" s="1092"/>
      <c r="G1155" s="343" t="s">
        <v>61</v>
      </c>
      <c r="H1155" s="401"/>
      <c r="I1155" s="400"/>
      <c r="J1155" s="400"/>
      <c r="K1155" s="123"/>
      <c r="L1155" s="123"/>
      <c r="M1155" s="123"/>
      <c r="N1155" s="124">
        <f>N1153</f>
        <v>15.2</v>
      </c>
      <c r="O1155" s="124"/>
    </row>
    <row r="1156" spans="1:15" ht="12.75" customHeight="1">
      <c r="A1156" s="373" t="s">
        <v>11</v>
      </c>
      <c r="B1156" s="375" t="s">
        <v>13</v>
      </c>
      <c r="C1156" s="1007" t="s">
        <v>1443</v>
      </c>
      <c r="D1156" s="1007"/>
      <c r="E1156" s="1007"/>
      <c r="F1156" s="1007"/>
      <c r="G1156" s="375" t="s">
        <v>15</v>
      </c>
      <c r="H1156" s="375" t="s">
        <v>1444</v>
      </c>
      <c r="I1156" s="375" t="s">
        <v>1445</v>
      </c>
      <c r="J1156" s="375" t="s">
        <v>1446</v>
      </c>
      <c r="K1156" s="375" t="s">
        <v>1447</v>
      </c>
      <c r="L1156" s="375" t="s">
        <v>1448</v>
      </c>
      <c r="M1156" s="375" t="s">
        <v>1457</v>
      </c>
      <c r="N1156" s="375" t="s">
        <v>1450</v>
      </c>
      <c r="O1156" s="375" t="s">
        <v>1451</v>
      </c>
    </row>
    <row r="1157" spans="1:15" ht="12.75" customHeight="1">
      <c r="A1157" s="376"/>
      <c r="B1157" s="376" t="str">
        <f>ORÇAMENTO!C129</f>
        <v>8.00</v>
      </c>
      <c r="C1157" s="1008" t="str">
        <f>ORÇAMENTO!D129</f>
        <v>IMPERMEABILIZAÇÃO</v>
      </c>
      <c r="D1157" s="1008"/>
      <c r="E1157" s="1008"/>
      <c r="F1157" s="1008"/>
      <c r="G1157" s="1082"/>
      <c r="H1157" s="1082"/>
      <c r="I1157" s="1082"/>
      <c r="J1157" s="1082"/>
      <c r="K1157" s="1082"/>
      <c r="L1157" s="1082"/>
      <c r="M1157" s="1082"/>
      <c r="N1157" s="1082"/>
      <c r="O1157" s="1082"/>
    </row>
    <row r="1158" spans="1:15" ht="36.75" customHeight="1">
      <c r="A1158" s="378">
        <f>ORÇAMENTO!A130</f>
        <v>4953</v>
      </c>
      <c r="B1158" s="377" t="str">
        <f>ORÇAMENTO!C130</f>
        <v>8.01</v>
      </c>
      <c r="C1158" s="1003" t="str">
        <f>ORÇAMENTO!D130</f>
        <v>IMPERMEABILIZAÇÃO DE ALICERCE E VIGA BALDRAME COM 2 DEMÃOS DE TINTA ASFÁLTICA TIPO NEUTROL DA VEDACIT OU SIMILAR, EXCETO ARGAMASSA IMPERMEABILIZAÇÃO</v>
      </c>
      <c r="D1158" s="1003"/>
      <c r="E1158" s="1003"/>
      <c r="F1158" s="1003"/>
      <c r="G1158" s="425" t="str">
        <f>ORÇAMENTO!E130</f>
        <v>M²</v>
      </c>
      <c r="H1158" s="383"/>
      <c r="I1158" s="115"/>
      <c r="J1158" s="380"/>
      <c r="K1158" s="115"/>
      <c r="L1158" s="115"/>
      <c r="M1158" s="115"/>
      <c r="N1158" s="115">
        <f>SUM(N1159:N1192)</f>
        <v>1474.60724</v>
      </c>
      <c r="O1158" s="116"/>
    </row>
    <row r="1159" spans="1:15">
      <c r="A1159" s="337"/>
      <c r="B1159" s="342"/>
      <c r="C1159" s="1029" t="s">
        <v>1530</v>
      </c>
      <c r="D1159" s="1029"/>
      <c r="E1159" s="1029"/>
      <c r="F1159" s="1029"/>
      <c r="G1159" s="389"/>
      <c r="H1159" s="582"/>
      <c r="I1159" s="582"/>
      <c r="J1159" s="582"/>
      <c r="K1159" s="583"/>
      <c r="L1159" s="583"/>
      <c r="M1159" s="117"/>
      <c r="N1159" s="389"/>
      <c r="O1159" s="119"/>
    </row>
    <row r="1160" spans="1:15" s="127" customFormat="1" ht="33.75" customHeight="1">
      <c r="A1160" s="337"/>
      <c r="B1160" s="342" t="s">
        <v>1531</v>
      </c>
      <c r="C1160" s="1024" t="s">
        <v>1532</v>
      </c>
      <c r="D1160" s="1024"/>
      <c r="E1160" s="1024"/>
      <c r="F1160" s="1024"/>
      <c r="G1160" s="389" t="s">
        <v>61</v>
      </c>
      <c r="H1160" s="582">
        <v>27</v>
      </c>
      <c r="I1160" s="588">
        <v>0.6</v>
      </c>
      <c r="J1160" s="582">
        <v>0.6</v>
      </c>
      <c r="K1160" s="583">
        <v>0.45</v>
      </c>
      <c r="L1160" s="583"/>
      <c r="M1160" s="117"/>
      <c r="N1160" s="389">
        <f>(((I1160+J1160)*2)*K1160)*H1160</f>
        <v>29.160000000000004</v>
      </c>
      <c r="O1160" s="119"/>
    </row>
    <row r="1161" spans="1:15" s="127" customFormat="1" ht="31.5" customHeight="1">
      <c r="A1161" s="337"/>
      <c r="B1161" s="342" t="s">
        <v>1533</v>
      </c>
      <c r="C1161" s="1024" t="s">
        <v>1534</v>
      </c>
      <c r="D1161" s="1024"/>
      <c r="E1161" s="1024"/>
      <c r="F1161" s="1024"/>
      <c r="G1161" s="389" t="s">
        <v>61</v>
      </c>
      <c r="H1161" s="582">
        <v>20</v>
      </c>
      <c r="I1161" s="588">
        <v>0.7</v>
      </c>
      <c r="J1161" s="582">
        <v>0.7</v>
      </c>
      <c r="K1161" s="583">
        <v>0.45</v>
      </c>
      <c r="L1161" s="583"/>
      <c r="M1161" s="117"/>
      <c r="N1161" s="389">
        <f t="shared" ref="N1161:N1170" si="46">(((I1161+J1161)*2)*K1161)*H1161</f>
        <v>25.2</v>
      </c>
      <c r="O1161" s="119"/>
    </row>
    <row r="1162" spans="1:15" s="127" customFormat="1" ht="15" customHeight="1">
      <c r="A1162" s="337"/>
      <c r="B1162" s="342" t="s">
        <v>1535</v>
      </c>
      <c r="C1162" s="1024" t="s">
        <v>1536</v>
      </c>
      <c r="D1162" s="1024"/>
      <c r="E1162" s="1024"/>
      <c r="F1162" s="1024"/>
      <c r="G1162" s="389" t="s">
        <v>61</v>
      </c>
      <c r="H1162" s="582">
        <v>10</v>
      </c>
      <c r="I1162" s="588">
        <v>0.8</v>
      </c>
      <c r="J1162" s="582">
        <v>0.8</v>
      </c>
      <c r="K1162" s="583">
        <v>0.45</v>
      </c>
      <c r="L1162" s="583"/>
      <c r="M1162" s="117"/>
      <c r="N1162" s="389">
        <f t="shared" si="46"/>
        <v>14.400000000000002</v>
      </c>
      <c r="O1162" s="119"/>
    </row>
    <row r="1163" spans="1:15" s="127" customFormat="1" ht="15" customHeight="1">
      <c r="A1163" s="337"/>
      <c r="B1163" s="342" t="s">
        <v>1537</v>
      </c>
      <c r="C1163" s="1024" t="s">
        <v>1538</v>
      </c>
      <c r="D1163" s="1024"/>
      <c r="E1163" s="1024"/>
      <c r="F1163" s="1024"/>
      <c r="G1163" s="389" t="s">
        <v>61</v>
      </c>
      <c r="H1163" s="582">
        <v>6</v>
      </c>
      <c r="I1163" s="588">
        <v>0.9</v>
      </c>
      <c r="J1163" s="582">
        <v>0.9</v>
      </c>
      <c r="K1163" s="583">
        <v>0.45</v>
      </c>
      <c r="L1163" s="583"/>
      <c r="M1163" s="117"/>
      <c r="N1163" s="389">
        <f t="shared" si="46"/>
        <v>9.7200000000000006</v>
      </c>
      <c r="O1163" s="119"/>
    </row>
    <row r="1164" spans="1:15" s="127" customFormat="1" ht="15" customHeight="1">
      <c r="A1164" s="337"/>
      <c r="B1164" s="342" t="s">
        <v>1539</v>
      </c>
      <c r="C1164" s="1024" t="s">
        <v>1540</v>
      </c>
      <c r="D1164" s="1024"/>
      <c r="E1164" s="1024"/>
      <c r="F1164" s="1024"/>
      <c r="G1164" s="389" t="s">
        <v>61</v>
      </c>
      <c r="H1164" s="582">
        <v>6</v>
      </c>
      <c r="I1164" s="588">
        <v>1.1000000000000001</v>
      </c>
      <c r="J1164" s="582">
        <v>1.1000000000000001</v>
      </c>
      <c r="K1164" s="583">
        <v>0.45</v>
      </c>
      <c r="L1164" s="583"/>
      <c r="M1164" s="117"/>
      <c r="N1164" s="389">
        <f t="shared" si="46"/>
        <v>11.88</v>
      </c>
      <c r="O1164" s="119"/>
    </row>
    <row r="1165" spans="1:15" s="127" customFormat="1" ht="15" customHeight="1">
      <c r="A1165" s="337"/>
      <c r="B1165" s="342" t="s">
        <v>1541</v>
      </c>
      <c r="C1165" s="1024" t="s">
        <v>1542</v>
      </c>
      <c r="D1165" s="1024"/>
      <c r="E1165" s="1024"/>
      <c r="F1165" s="1024"/>
      <c r="G1165" s="389" t="s">
        <v>61</v>
      </c>
      <c r="H1165" s="582">
        <v>1</v>
      </c>
      <c r="I1165" s="588">
        <v>1.7</v>
      </c>
      <c r="J1165" s="582">
        <v>1.7</v>
      </c>
      <c r="K1165" s="583">
        <v>0.45</v>
      </c>
      <c r="L1165" s="583"/>
      <c r="M1165" s="117"/>
      <c r="N1165" s="389">
        <f t="shared" si="46"/>
        <v>3.06</v>
      </c>
      <c r="O1165" s="119"/>
    </row>
    <row r="1166" spans="1:15" s="127" customFormat="1" ht="15" customHeight="1">
      <c r="A1166" s="337"/>
      <c r="B1166" s="342" t="s">
        <v>1543</v>
      </c>
      <c r="C1166" s="1024" t="s">
        <v>1544</v>
      </c>
      <c r="D1166" s="1024"/>
      <c r="E1166" s="1024"/>
      <c r="F1166" s="1024"/>
      <c r="G1166" s="389" t="s">
        <v>61</v>
      </c>
      <c r="H1166" s="582">
        <v>1</v>
      </c>
      <c r="I1166" s="582">
        <v>1.85</v>
      </c>
      <c r="J1166" s="582">
        <v>1.85</v>
      </c>
      <c r="K1166" s="583">
        <v>0.45</v>
      </c>
      <c r="L1166" s="583"/>
      <c r="M1166" s="117"/>
      <c r="N1166" s="389">
        <f t="shared" si="46"/>
        <v>3.33</v>
      </c>
      <c r="O1166" s="119"/>
    </row>
    <row r="1167" spans="1:15" s="127" customFormat="1" ht="15" customHeight="1">
      <c r="A1167" s="337"/>
      <c r="B1167" s="342" t="s">
        <v>1545</v>
      </c>
      <c r="C1167" s="1024" t="s">
        <v>1546</v>
      </c>
      <c r="D1167" s="1024"/>
      <c r="E1167" s="1024"/>
      <c r="F1167" s="1024"/>
      <c r="G1167" s="389" t="s">
        <v>61</v>
      </c>
      <c r="H1167" s="582">
        <v>1</v>
      </c>
      <c r="I1167" s="582">
        <v>1.35</v>
      </c>
      <c r="J1167" s="582">
        <v>1.35</v>
      </c>
      <c r="K1167" s="583">
        <v>0.45</v>
      </c>
      <c r="L1167" s="583"/>
      <c r="M1167" s="117"/>
      <c r="N1167" s="389">
        <f t="shared" si="46"/>
        <v>2.4300000000000002</v>
      </c>
      <c r="O1167" s="119"/>
    </row>
    <row r="1168" spans="1:15" s="127" customFormat="1" ht="15" customHeight="1">
      <c r="A1168" s="337"/>
      <c r="B1168" s="342"/>
      <c r="C1168" s="1029" t="s">
        <v>1547</v>
      </c>
      <c r="D1168" s="1029"/>
      <c r="E1168" s="1029"/>
      <c r="F1168" s="1029"/>
      <c r="G1168" s="389"/>
      <c r="H1168" s="582"/>
      <c r="I1168" s="582"/>
      <c r="J1168" s="582"/>
      <c r="K1168" s="583"/>
      <c r="L1168" s="583"/>
      <c r="M1168" s="117"/>
      <c r="N1168" s="389"/>
      <c r="O1168" s="119"/>
    </row>
    <row r="1169" spans="1:15" s="127" customFormat="1" ht="15" customHeight="1">
      <c r="A1169" s="337"/>
      <c r="B1169" s="342" t="s">
        <v>1533</v>
      </c>
      <c r="C1169" s="1027" t="s">
        <v>1548</v>
      </c>
      <c r="D1169" s="1027"/>
      <c r="E1169" s="1027"/>
      <c r="F1169" s="1027"/>
      <c r="G1169" s="389" t="s">
        <v>61</v>
      </c>
      <c r="H1169" s="582">
        <v>1</v>
      </c>
      <c r="I1169" s="582">
        <v>0.7</v>
      </c>
      <c r="J1169" s="582">
        <v>0.7</v>
      </c>
      <c r="K1169" s="583">
        <v>0.65</v>
      </c>
      <c r="L1169" s="583"/>
      <c r="M1169" s="117"/>
      <c r="N1169" s="389">
        <f t="shared" si="46"/>
        <v>1.8199999999999998</v>
      </c>
      <c r="O1169" s="119"/>
    </row>
    <row r="1170" spans="1:15" s="127" customFormat="1" ht="15" customHeight="1">
      <c r="A1170" s="337"/>
      <c r="B1170" s="342" t="s">
        <v>1549</v>
      </c>
      <c r="C1170" s="1027" t="s">
        <v>1550</v>
      </c>
      <c r="D1170" s="1027"/>
      <c r="E1170" s="1027"/>
      <c r="F1170" s="1027"/>
      <c r="G1170" s="389" t="s">
        <v>61</v>
      </c>
      <c r="H1170" s="582">
        <v>5</v>
      </c>
      <c r="I1170" s="582">
        <v>1</v>
      </c>
      <c r="J1170" s="582">
        <v>1.4</v>
      </c>
      <c r="K1170" s="583">
        <v>0.7</v>
      </c>
      <c r="L1170" s="583"/>
      <c r="M1170" s="117"/>
      <c r="N1170" s="389">
        <f t="shared" si="46"/>
        <v>16.8</v>
      </c>
      <c r="O1170" s="119"/>
    </row>
    <row r="1171" spans="1:15" s="127" customFormat="1" ht="15" customHeight="1">
      <c r="A1171" s="337"/>
      <c r="B1171" s="342"/>
      <c r="C1171" s="1029" t="s">
        <v>1551</v>
      </c>
      <c r="D1171" s="1029"/>
      <c r="E1171" s="1029"/>
      <c r="F1171" s="1029"/>
      <c r="G1171" s="389"/>
      <c r="H1171" s="582"/>
      <c r="I1171" s="582"/>
      <c r="J1171" s="582"/>
      <c r="K1171" s="583"/>
      <c r="L1171" s="583"/>
      <c r="M1171" s="117"/>
      <c r="N1171" s="389"/>
      <c r="O1171" s="119"/>
    </row>
    <row r="1172" spans="1:15" s="127" customFormat="1" ht="15" customHeight="1">
      <c r="A1172" s="337"/>
      <c r="B1172" s="342" t="s">
        <v>1552</v>
      </c>
      <c r="C1172" s="1027" t="s">
        <v>1553</v>
      </c>
      <c r="D1172" s="1027"/>
      <c r="E1172" s="1027"/>
      <c r="F1172" s="1027"/>
      <c r="G1172" s="389" t="s">
        <v>61</v>
      </c>
      <c r="H1172" s="582"/>
      <c r="I1172" s="582">
        <f>0.4</f>
        <v>0.4</v>
      </c>
      <c r="J1172" s="582"/>
      <c r="K1172" s="583">
        <f>0.4</f>
        <v>0.4</v>
      </c>
      <c r="L1172" s="583">
        <f>165.87+1.93+11.83+18.18+5+5+5+6.8+12.17+9.95+1.75+3.9+1.05+26.34+9.6+5.33+2.65+2.65+2.65+1.85+6.98+11.88+25.39+2.4+5.08+4.6+13.14+3.5+6.32+16.96+1.36+12.71+2.55+2.55+2.55+22.65+4.06+2.6+12.84+4.88+4.18+3.5+5+1.6+4.2</f>
        <v>482.97999999999996</v>
      </c>
      <c r="M1172" s="117"/>
      <c r="N1172" s="441">
        <f>((I1172+K1172)*2)*L1172</f>
        <v>772.76800000000003</v>
      </c>
      <c r="O1172" s="119"/>
    </row>
    <row r="1173" spans="1:15" s="127" customFormat="1" ht="15" customHeight="1">
      <c r="A1173" s="337"/>
      <c r="B1173" s="342"/>
      <c r="C1173" s="1029" t="s">
        <v>1588</v>
      </c>
      <c r="D1173" s="1029"/>
      <c r="E1173" s="1029"/>
      <c r="F1173" s="1029"/>
      <c r="G1173" s="343"/>
      <c r="H1173" s="587"/>
      <c r="I1173" s="587"/>
      <c r="J1173" s="587"/>
      <c r="K1173" s="587"/>
      <c r="L1173" s="583"/>
      <c r="M1173" s="117"/>
      <c r="N1173" s="389"/>
      <c r="O1173" s="119"/>
    </row>
    <row r="1174" spans="1:15" s="127" customFormat="1" ht="15" customHeight="1">
      <c r="A1174" s="337"/>
      <c r="B1174" s="342"/>
      <c r="C1174" s="1000" t="s">
        <v>1589</v>
      </c>
      <c r="D1174" s="1000"/>
      <c r="E1174" s="1000"/>
      <c r="F1174" s="1000"/>
      <c r="G1174" s="343" t="s">
        <v>109</v>
      </c>
      <c r="H1174" s="587">
        <v>52</v>
      </c>
      <c r="I1174" s="587">
        <v>0.14000000000000001</v>
      </c>
      <c r="J1174" s="587">
        <v>0.26</v>
      </c>
      <c r="K1174" s="587">
        <f>2.73</f>
        <v>2.73</v>
      </c>
      <c r="L1174" s="583"/>
      <c r="M1174" s="117"/>
      <c r="N1174" s="441">
        <f>(((I1174+J1174)*2)*K1174)*H1174</f>
        <v>113.56800000000001</v>
      </c>
      <c r="O1174" s="119"/>
    </row>
    <row r="1175" spans="1:15" s="127" customFormat="1" ht="15" customHeight="1">
      <c r="A1175" s="337"/>
      <c r="B1175" s="342"/>
      <c r="C1175" s="1000" t="s">
        <v>1590</v>
      </c>
      <c r="D1175" s="1000"/>
      <c r="E1175" s="1000"/>
      <c r="F1175" s="1000"/>
      <c r="G1175" s="343" t="s">
        <v>109</v>
      </c>
      <c r="H1175" s="587">
        <v>2</v>
      </c>
      <c r="I1175" s="587">
        <v>0.19</v>
      </c>
      <c r="J1175" s="587">
        <v>0.4</v>
      </c>
      <c r="K1175" s="587">
        <f>2.83</f>
        <v>2.83</v>
      </c>
      <c r="L1175" s="583"/>
      <c r="M1175" s="117"/>
      <c r="N1175" s="441">
        <f t="shared" ref="N1175:N1184" si="47">(((I1175+J1175)*2)*K1175)*H1175</f>
        <v>6.6788000000000007</v>
      </c>
      <c r="O1175" s="119"/>
    </row>
    <row r="1176" spans="1:15" s="127" customFormat="1" ht="15" customHeight="1">
      <c r="A1176" s="337"/>
      <c r="B1176" s="342"/>
      <c r="C1176" s="1000" t="s">
        <v>1591</v>
      </c>
      <c r="D1176" s="1000"/>
      <c r="E1176" s="1000"/>
      <c r="F1176" s="1000"/>
      <c r="G1176" s="343" t="s">
        <v>109</v>
      </c>
      <c r="H1176" s="587">
        <v>2</v>
      </c>
      <c r="I1176" s="587">
        <v>0.19</v>
      </c>
      <c r="J1176" s="587">
        <v>0.6</v>
      </c>
      <c r="K1176" s="587">
        <f>2.83</f>
        <v>2.83</v>
      </c>
      <c r="L1176" s="583"/>
      <c r="M1176" s="117"/>
      <c r="N1176" s="441">
        <f t="shared" si="47"/>
        <v>8.9428000000000001</v>
      </c>
      <c r="O1176" s="119"/>
    </row>
    <row r="1177" spans="1:15" s="127" customFormat="1" ht="15" customHeight="1">
      <c r="A1177" s="337"/>
      <c r="B1177" s="342"/>
      <c r="C1177" s="1000" t="s">
        <v>1592</v>
      </c>
      <c r="D1177" s="1000"/>
      <c r="E1177" s="1000"/>
      <c r="F1177" s="1000"/>
      <c r="G1177" s="343" t="s">
        <v>109</v>
      </c>
      <c r="H1177" s="587">
        <v>1</v>
      </c>
      <c r="I1177" s="587">
        <v>0.14000000000000001</v>
      </c>
      <c r="J1177" s="587">
        <v>0.4</v>
      </c>
      <c r="K1177" s="587">
        <f>2.83</f>
        <v>2.83</v>
      </c>
      <c r="L1177" s="583"/>
      <c r="M1177" s="117"/>
      <c r="N1177" s="441">
        <f t="shared" si="47"/>
        <v>3.0564000000000004</v>
      </c>
      <c r="O1177" s="119"/>
    </row>
    <row r="1178" spans="1:15" s="127" customFormat="1" ht="15" customHeight="1">
      <c r="A1178" s="337"/>
      <c r="B1178" s="342"/>
      <c r="C1178" s="1000" t="s">
        <v>1593</v>
      </c>
      <c r="D1178" s="1000"/>
      <c r="E1178" s="1000"/>
      <c r="F1178" s="1000"/>
      <c r="G1178" s="343" t="s">
        <v>109</v>
      </c>
      <c r="H1178" s="587">
        <v>2</v>
      </c>
      <c r="I1178" s="587">
        <v>0.25</v>
      </c>
      <c r="J1178" s="587">
        <v>0.25</v>
      </c>
      <c r="K1178" s="587">
        <f>3.03</f>
        <v>3.03</v>
      </c>
      <c r="L1178" s="583"/>
      <c r="M1178" s="117"/>
      <c r="N1178" s="441">
        <f t="shared" si="47"/>
        <v>6.06</v>
      </c>
      <c r="O1178" s="119"/>
    </row>
    <row r="1179" spans="1:15" s="127" customFormat="1" ht="15" customHeight="1">
      <c r="A1179" s="337"/>
      <c r="B1179" s="342"/>
      <c r="C1179" s="1000" t="s">
        <v>1594</v>
      </c>
      <c r="D1179" s="1000"/>
      <c r="E1179" s="1000"/>
      <c r="F1179" s="1000"/>
      <c r="G1179" s="343" t="s">
        <v>109</v>
      </c>
      <c r="H1179" s="587">
        <v>9</v>
      </c>
      <c r="I1179" s="587">
        <v>0.14000000000000001</v>
      </c>
      <c r="J1179" s="587">
        <v>0.35</v>
      </c>
      <c r="K1179" s="587">
        <f>2.73</f>
        <v>2.73</v>
      </c>
      <c r="L1179" s="583"/>
      <c r="M1179" s="117"/>
      <c r="N1179" s="441">
        <f t="shared" si="47"/>
        <v>24.078599999999998</v>
      </c>
      <c r="O1179" s="119"/>
    </row>
    <row r="1180" spans="1:15" s="127" customFormat="1" ht="15" customHeight="1">
      <c r="A1180" s="337"/>
      <c r="B1180" s="342"/>
      <c r="C1180" s="1000" t="s">
        <v>1595</v>
      </c>
      <c r="D1180" s="1000"/>
      <c r="E1180" s="1000"/>
      <c r="F1180" s="1000"/>
      <c r="G1180" s="343" t="s">
        <v>109</v>
      </c>
      <c r="H1180" s="587">
        <v>1</v>
      </c>
      <c r="I1180" s="587">
        <v>0.14000000000000001</v>
      </c>
      <c r="J1180" s="587">
        <v>0.4</v>
      </c>
      <c r="K1180" s="587">
        <v>3.03</v>
      </c>
      <c r="L1180" s="583"/>
      <c r="M1180" s="117"/>
      <c r="N1180" s="441">
        <f t="shared" si="47"/>
        <v>3.2724000000000002</v>
      </c>
      <c r="O1180" s="119"/>
    </row>
    <row r="1181" spans="1:15" s="127" customFormat="1" ht="15" customHeight="1">
      <c r="A1181" s="337"/>
      <c r="B1181" s="342"/>
      <c r="C1181" s="1000" t="s">
        <v>1596</v>
      </c>
      <c r="D1181" s="1000"/>
      <c r="E1181" s="1000"/>
      <c r="F1181" s="1000"/>
      <c r="G1181" s="343" t="s">
        <v>109</v>
      </c>
      <c r="H1181" s="587">
        <v>1</v>
      </c>
      <c r="I1181" s="587">
        <v>0.14000000000000001</v>
      </c>
      <c r="J1181" s="587">
        <v>0.4</v>
      </c>
      <c r="K1181" s="587">
        <v>3.03</v>
      </c>
      <c r="L1181" s="583"/>
      <c r="M1181" s="117"/>
      <c r="N1181" s="441">
        <f t="shared" si="47"/>
        <v>3.2724000000000002</v>
      </c>
      <c r="O1181" s="119"/>
    </row>
    <row r="1182" spans="1:15" s="127" customFormat="1" ht="15" customHeight="1">
      <c r="A1182" s="337"/>
      <c r="B1182" s="342"/>
      <c r="C1182" s="1000" t="s">
        <v>1597</v>
      </c>
      <c r="D1182" s="1000"/>
      <c r="E1182" s="1000"/>
      <c r="F1182" s="1000"/>
      <c r="G1182" s="343" t="s">
        <v>109</v>
      </c>
      <c r="H1182" s="587">
        <v>1</v>
      </c>
      <c r="I1182" s="587">
        <v>0.14000000000000001</v>
      </c>
      <c r="J1182" s="587">
        <v>0.45</v>
      </c>
      <c r="K1182" s="587">
        <v>3.03</v>
      </c>
      <c r="L1182" s="583"/>
      <c r="M1182" s="117"/>
      <c r="N1182" s="441">
        <f t="shared" si="47"/>
        <v>3.5754000000000001</v>
      </c>
      <c r="O1182" s="119"/>
    </row>
    <row r="1183" spans="1:15" s="127" customFormat="1" ht="15" customHeight="1">
      <c r="A1183" s="337"/>
      <c r="B1183" s="342"/>
      <c r="C1183" s="1000" t="s">
        <v>1598</v>
      </c>
      <c r="D1183" s="1000"/>
      <c r="E1183" s="1000"/>
      <c r="F1183" s="1000"/>
      <c r="G1183" s="343" t="s">
        <v>109</v>
      </c>
      <c r="H1183" s="587">
        <v>1</v>
      </c>
      <c r="I1183" s="587">
        <v>0.14000000000000001</v>
      </c>
      <c r="J1183" s="587">
        <v>0.4</v>
      </c>
      <c r="K1183" s="587">
        <v>2.83</v>
      </c>
      <c r="L1183" s="583"/>
      <c r="M1183" s="117"/>
      <c r="N1183" s="441">
        <f t="shared" si="47"/>
        <v>3.0564000000000004</v>
      </c>
      <c r="O1183" s="119"/>
    </row>
    <row r="1184" spans="1:15" s="127" customFormat="1" ht="15" customHeight="1">
      <c r="A1184" s="337"/>
      <c r="B1184" s="342"/>
      <c r="C1184" s="1000" t="s">
        <v>1599</v>
      </c>
      <c r="D1184" s="1000"/>
      <c r="E1184" s="1000"/>
      <c r="F1184" s="1000"/>
      <c r="G1184" s="343" t="s">
        <v>109</v>
      </c>
      <c r="H1184" s="587">
        <v>1</v>
      </c>
      <c r="I1184" s="587">
        <v>0.14000000000000001</v>
      </c>
      <c r="J1184" s="587">
        <v>0.35</v>
      </c>
      <c r="K1184" s="587">
        <v>3.03</v>
      </c>
      <c r="L1184" s="583"/>
      <c r="M1184" s="117"/>
      <c r="N1184" s="441">
        <f t="shared" si="47"/>
        <v>2.9693999999999998</v>
      </c>
      <c r="O1184" s="119"/>
    </row>
    <row r="1185" spans="1:15" s="127" customFormat="1" ht="15" customHeight="1">
      <c r="A1185" s="337"/>
      <c r="B1185" s="342"/>
      <c r="C1185" s="1029" t="s">
        <v>1510</v>
      </c>
      <c r="D1185" s="1029"/>
      <c r="E1185" s="1029"/>
      <c r="F1185" s="1029"/>
      <c r="G1185" s="343"/>
      <c r="H1185" s="587"/>
      <c r="I1185" s="587"/>
      <c r="J1185" s="587"/>
      <c r="K1185" s="587"/>
      <c r="L1185" s="583"/>
      <c r="M1185" s="117"/>
      <c r="N1185" s="441"/>
      <c r="O1185" s="119"/>
    </row>
    <row r="1186" spans="1:15" s="127" customFormat="1" ht="15" customHeight="1">
      <c r="A1186" s="337"/>
      <c r="B1186" s="342"/>
      <c r="C1186" s="1000" t="s">
        <v>1849</v>
      </c>
      <c r="D1186" s="1000"/>
      <c r="E1186" s="1000"/>
      <c r="F1186" s="1000"/>
      <c r="G1186" s="338" t="s">
        <v>61</v>
      </c>
      <c r="H1186" s="422">
        <v>8.1</v>
      </c>
      <c r="I1186" s="582">
        <v>0.4</v>
      </c>
      <c r="J1186" s="582"/>
      <c r="K1186" s="582">
        <v>0.4</v>
      </c>
      <c r="L1186" s="117">
        <v>33.452300000000001</v>
      </c>
      <c r="M1186" s="583">
        <f>2*(3*2.13)+(1*2.13)</f>
        <v>14.91</v>
      </c>
      <c r="N1186" s="118">
        <f>((I1186+K1186)*2)*L1186</f>
        <v>53.523680000000006</v>
      </c>
      <c r="O1186" s="119"/>
    </row>
    <row r="1187" spans="1:15" s="127" customFormat="1" ht="15" customHeight="1">
      <c r="A1187" s="337"/>
      <c r="B1187" s="342"/>
      <c r="C1187" s="1000" t="s">
        <v>1850</v>
      </c>
      <c r="D1187" s="1000"/>
      <c r="E1187" s="1000"/>
      <c r="F1187" s="1000"/>
      <c r="G1187" s="338" t="s">
        <v>61</v>
      </c>
      <c r="H1187" s="422">
        <v>8.1</v>
      </c>
      <c r="I1187" s="582">
        <v>0.4</v>
      </c>
      <c r="J1187" s="582"/>
      <c r="K1187" s="582">
        <v>0.4</v>
      </c>
      <c r="L1187" s="117">
        <f>57.5679</f>
        <v>57.567900000000002</v>
      </c>
      <c r="M1187" s="583"/>
      <c r="N1187" s="118">
        <f t="shared" ref="N1187:N1191" si="48">((I1187+K1187)*2)*L1187</f>
        <v>92.108640000000008</v>
      </c>
      <c r="O1187" s="119"/>
    </row>
    <row r="1188" spans="1:15" s="127" customFormat="1" ht="15" customHeight="1">
      <c r="A1188" s="337"/>
      <c r="B1188" s="342"/>
      <c r="C1188" s="1000" t="s">
        <v>1851</v>
      </c>
      <c r="D1188" s="1000"/>
      <c r="E1188" s="1000"/>
      <c r="F1188" s="1000"/>
      <c r="G1188" s="338" t="s">
        <v>61</v>
      </c>
      <c r="H1188" s="422">
        <v>8.1</v>
      </c>
      <c r="I1188" s="582">
        <v>0.4</v>
      </c>
      <c r="J1188" s="582"/>
      <c r="K1188" s="582">
        <v>0.4</v>
      </c>
      <c r="L1188" s="117">
        <v>54.623399999999997</v>
      </c>
      <c r="M1188" s="583"/>
      <c r="N1188" s="118">
        <f t="shared" si="48"/>
        <v>87.397440000000003</v>
      </c>
      <c r="O1188" s="119"/>
    </row>
    <row r="1189" spans="1:15" s="127" customFormat="1" ht="15" customHeight="1">
      <c r="A1189" s="337"/>
      <c r="B1189" s="342"/>
      <c r="C1189" s="1000" t="s">
        <v>1852</v>
      </c>
      <c r="D1189" s="1000"/>
      <c r="E1189" s="1000"/>
      <c r="F1189" s="1000"/>
      <c r="G1189" s="338" t="s">
        <v>61</v>
      </c>
      <c r="H1189" s="422"/>
      <c r="I1189" s="582">
        <v>0.4</v>
      </c>
      <c r="J1189" s="582"/>
      <c r="K1189" s="582">
        <v>0.4</v>
      </c>
      <c r="L1189" s="117">
        <f>24.5386+2.9365</f>
        <v>27.475099999999998</v>
      </c>
      <c r="M1189" s="583"/>
      <c r="N1189" s="118">
        <f t="shared" si="48"/>
        <v>43.960160000000002</v>
      </c>
      <c r="O1189" s="119"/>
    </row>
    <row r="1190" spans="1:15" s="127" customFormat="1" ht="15" customHeight="1">
      <c r="A1190" s="337"/>
      <c r="B1190" s="342"/>
      <c r="C1190" s="1000" t="s">
        <v>1853</v>
      </c>
      <c r="D1190" s="1000"/>
      <c r="E1190" s="1000"/>
      <c r="F1190" s="1000"/>
      <c r="G1190" s="338" t="s">
        <v>61</v>
      </c>
      <c r="H1190" s="422"/>
      <c r="I1190" s="582">
        <v>0.4</v>
      </c>
      <c r="J1190" s="582"/>
      <c r="K1190" s="582">
        <v>0.4</v>
      </c>
      <c r="L1190" s="117">
        <f>37.9937+3.05+4.65</f>
        <v>45.693699999999993</v>
      </c>
      <c r="M1190" s="583">
        <f>(0.8*2.1)+(3.3*2.5)</f>
        <v>9.93</v>
      </c>
      <c r="N1190" s="118">
        <f t="shared" si="48"/>
        <v>73.109919999999988</v>
      </c>
      <c r="O1190" s="119"/>
    </row>
    <row r="1191" spans="1:15" s="127" customFormat="1" ht="15" customHeight="1">
      <c r="A1191" s="337"/>
      <c r="B1191" s="342"/>
      <c r="C1191" s="1000" t="s">
        <v>1854</v>
      </c>
      <c r="D1191" s="1000"/>
      <c r="E1191" s="1000"/>
      <c r="F1191" s="1000"/>
      <c r="G1191" s="338" t="s">
        <v>61</v>
      </c>
      <c r="H1191" s="422">
        <v>8.1</v>
      </c>
      <c r="I1191" s="582">
        <v>0.4</v>
      </c>
      <c r="J1191" s="582"/>
      <c r="K1191" s="582">
        <v>0.4</v>
      </c>
      <c r="L1191" s="117">
        <v>34.630499999999998</v>
      </c>
      <c r="M1191" s="583"/>
      <c r="N1191" s="118">
        <f t="shared" si="48"/>
        <v>55.408799999999999</v>
      </c>
      <c r="O1191" s="119"/>
    </row>
    <row r="1192" spans="1:15" s="127" customFormat="1" ht="15" customHeight="1">
      <c r="A1192" s="337"/>
      <c r="B1192" s="342"/>
      <c r="C1192" s="1002"/>
      <c r="D1192" s="1002"/>
      <c r="E1192" s="1002"/>
      <c r="F1192" s="1002"/>
      <c r="G1192" s="389"/>
      <c r="H1192" s="582"/>
      <c r="I1192" s="588"/>
      <c r="J1192" s="582"/>
      <c r="K1192" s="583"/>
      <c r="L1192" s="583"/>
      <c r="M1192" s="117"/>
      <c r="N1192" s="389"/>
      <c r="O1192" s="119"/>
    </row>
    <row r="1193" spans="1:15" ht="28.5" customHeight="1">
      <c r="A1193" s="377">
        <f>ORÇAMENTO!A131</f>
        <v>4888</v>
      </c>
      <c r="B1193" s="377" t="str">
        <f>ORÇAMENTO!C131</f>
        <v>8.02</v>
      </c>
      <c r="C1193" s="1003" t="str">
        <f>ORÇAMENTO!D131</f>
        <v>PISO CIMENTADO LISO TRAÇO 1:5, E = 1,5 CM</v>
      </c>
      <c r="D1193" s="1003"/>
      <c r="E1193" s="1003"/>
      <c r="F1193" s="1003"/>
      <c r="G1193" s="425" t="str">
        <f>ORÇAMENTO!E131</f>
        <v>M²</v>
      </c>
      <c r="H1193" s="383"/>
      <c r="I1193" s="115"/>
      <c r="J1193" s="380"/>
      <c r="K1193" s="115"/>
      <c r="L1193" s="115"/>
      <c r="M1193" s="115"/>
      <c r="N1193" s="115">
        <f>SUM(N1194:N1197)</f>
        <v>850.11110000000008</v>
      </c>
      <c r="O1193" s="116"/>
    </row>
    <row r="1194" spans="1:15" s="129" customFormat="1" ht="16.5" customHeight="1">
      <c r="A1194" s="337"/>
      <c r="B1194" s="337"/>
      <c r="C1194" s="1002" t="s">
        <v>1886</v>
      </c>
      <c r="D1194" s="1002"/>
      <c r="E1194" s="1002"/>
      <c r="F1194" s="1002"/>
      <c r="G1194" s="442" t="s">
        <v>61</v>
      </c>
      <c r="H1194" s="127"/>
      <c r="I1194" s="340"/>
      <c r="J1194" s="340"/>
      <c r="K1194" s="117"/>
      <c r="L1194" s="117"/>
      <c r="M1194" s="117"/>
      <c r="N1194" s="608">
        <v>28.066500000000001</v>
      </c>
      <c r="O1194" s="119"/>
    </row>
    <row r="1195" spans="1:15" s="129" customFormat="1" ht="16.5" customHeight="1">
      <c r="A1195" s="337"/>
      <c r="B1195" s="337"/>
      <c r="C1195" s="1019" t="s">
        <v>1887</v>
      </c>
      <c r="D1195" s="1019"/>
      <c r="E1195" s="1019"/>
      <c r="F1195" s="1019"/>
      <c r="G1195" s="442" t="s">
        <v>61</v>
      </c>
      <c r="H1195" s="443"/>
      <c r="I1195" s="444"/>
      <c r="J1195" s="340"/>
      <c r="K1195" s="117"/>
      <c r="L1195" s="117"/>
      <c r="M1195" s="117"/>
      <c r="N1195" s="608">
        <v>64.452799999999996</v>
      </c>
      <c r="O1195" s="119"/>
    </row>
    <row r="1196" spans="1:15" s="129" customFormat="1" ht="16.5" customHeight="1">
      <c r="A1196" s="337"/>
      <c r="B1196" s="337"/>
      <c r="C1196" s="1019" t="s">
        <v>1888</v>
      </c>
      <c r="D1196" s="1019"/>
      <c r="E1196" s="1019"/>
      <c r="F1196" s="1019"/>
      <c r="G1196" s="442" t="s">
        <v>61</v>
      </c>
      <c r="H1196" s="443"/>
      <c r="I1196" s="444"/>
      <c r="J1196" s="340"/>
      <c r="K1196" s="117"/>
      <c r="L1196" s="117"/>
      <c r="M1196" s="117"/>
      <c r="N1196" s="608">
        <v>177.7397</v>
      </c>
      <c r="O1196" s="119"/>
    </row>
    <row r="1197" spans="1:15" s="129" customFormat="1" ht="16.5" customHeight="1">
      <c r="A1197" s="337"/>
      <c r="B1197" s="337"/>
      <c r="C1197" s="1019" t="s">
        <v>1889</v>
      </c>
      <c r="D1197" s="1019"/>
      <c r="E1197" s="1019"/>
      <c r="F1197" s="1019"/>
      <c r="G1197" s="442" t="s">
        <v>61</v>
      </c>
      <c r="H1197" s="443"/>
      <c r="I1197" s="444"/>
      <c r="J1197" s="340"/>
      <c r="K1197" s="117"/>
      <c r="L1197" s="117"/>
      <c r="M1197" s="117"/>
      <c r="N1197" s="119">
        <f>596.3491-16.497</f>
        <v>579.85210000000006</v>
      </c>
      <c r="O1197" s="119"/>
    </row>
    <row r="1198" spans="1:15" ht="63" customHeight="1">
      <c r="A1198" s="377">
        <f>ORÇAMENTO!A132</f>
        <v>8953</v>
      </c>
      <c r="B1198" s="377" t="str">
        <f>ORÇAMENTO!C132</f>
        <v>8.03</v>
      </c>
      <c r="C1198" s="1003" t="str">
        <f>ORÇAMENTO!D132</f>
        <v>IMPERMEABILIZAÇÃO COM ARGAMASSA POLIMÉRICA (3 DEMÃOS) TIPO DENVERTEC 100 E APLICAÇÃO DE TELA DE POLIÉSTER RESINADA, MALHA 2X2MM, REF.: DENVERTELA POLIÉSTER R OU SIMILAR (RESERVATÓRIO SUPERIOR E INFERIOR)</v>
      </c>
      <c r="D1198" s="1003"/>
      <c r="E1198" s="1003"/>
      <c r="F1198" s="1003"/>
      <c r="G1198" s="425" t="str">
        <f>ORÇAMENTO!E132</f>
        <v>M²</v>
      </c>
      <c r="H1198" s="383"/>
      <c r="I1198" s="115"/>
      <c r="J1198" s="380"/>
      <c r="K1198" s="115"/>
      <c r="L1198" s="115"/>
      <c r="M1198" s="115"/>
      <c r="N1198" s="115">
        <f>SUM(N1199:N1206)</f>
        <v>86.412879999999987</v>
      </c>
      <c r="O1198" s="116"/>
    </row>
    <row r="1199" spans="1:15" s="109" customFormat="1" ht="15" customHeight="1">
      <c r="A1199" s="445"/>
      <c r="B1199" s="337"/>
      <c r="C1199" s="1045" t="s">
        <v>1890</v>
      </c>
      <c r="D1199" s="1045"/>
      <c r="E1199" s="1045"/>
      <c r="F1199" s="1045"/>
      <c r="G1199" s="389"/>
      <c r="H1199" s="443">
        <v>1.1000000000000001</v>
      </c>
      <c r="I1199" s="590"/>
      <c r="J1199" s="582"/>
      <c r="K1199" s="583"/>
      <c r="L1199" s="583"/>
      <c r="M1199" s="583"/>
      <c r="N1199" s="589"/>
      <c r="O1199" s="589"/>
    </row>
    <row r="1200" spans="1:15" s="109" customFormat="1" ht="15" customHeight="1">
      <c r="A1200" s="445"/>
      <c r="B1200" s="337"/>
      <c r="C1200" s="1019" t="s">
        <v>1891</v>
      </c>
      <c r="D1200" s="1019"/>
      <c r="E1200" s="1019"/>
      <c r="F1200" s="1019"/>
      <c r="G1200" s="389" t="s">
        <v>61</v>
      </c>
      <c r="H1200" s="443">
        <v>1.1000000000000001</v>
      </c>
      <c r="I1200" s="590"/>
      <c r="J1200" s="582"/>
      <c r="K1200" s="583">
        <v>1</v>
      </c>
      <c r="L1200" s="583">
        <f>10.2</f>
        <v>10.199999999999999</v>
      </c>
      <c r="M1200" s="583"/>
      <c r="N1200" s="589">
        <f>6.4125+(L1200*K1200)</f>
        <v>16.612499999999997</v>
      </c>
      <c r="O1200" s="589"/>
    </row>
    <row r="1201" spans="1:15" s="109" customFormat="1" ht="15" customHeight="1">
      <c r="A1201" s="445"/>
      <c r="B1201" s="337"/>
      <c r="C1201" s="1019" t="s">
        <v>1892</v>
      </c>
      <c r="D1201" s="1019"/>
      <c r="E1201" s="1019"/>
      <c r="F1201" s="1019"/>
      <c r="G1201" s="389" t="s">
        <v>61</v>
      </c>
      <c r="H1201" s="443">
        <v>1.1000000000000001</v>
      </c>
      <c r="I1201" s="590"/>
      <c r="J1201" s="582"/>
      <c r="K1201" s="583">
        <v>1</v>
      </c>
      <c r="L1201" s="583">
        <f>9.77</f>
        <v>9.77</v>
      </c>
      <c r="M1201" s="583"/>
      <c r="N1201" s="589">
        <f>5.7998+(L1201*K1201)</f>
        <v>15.569800000000001</v>
      </c>
      <c r="O1201" s="589"/>
    </row>
    <row r="1202" spans="1:15" s="109" customFormat="1" ht="15" customHeight="1">
      <c r="A1202" s="445"/>
      <c r="B1202" s="337"/>
      <c r="C1202" s="1019" t="s">
        <v>1893</v>
      </c>
      <c r="D1202" s="1019"/>
      <c r="E1202" s="1019"/>
      <c r="F1202" s="1019"/>
      <c r="G1202" s="389" t="s">
        <v>61</v>
      </c>
      <c r="H1202" s="443">
        <v>1.1000000000000001</v>
      </c>
      <c r="I1202" s="590"/>
      <c r="J1202" s="582"/>
      <c r="K1202" s="583">
        <v>1</v>
      </c>
      <c r="L1202" s="583">
        <f>9.5731</f>
        <v>9.5731000000000002</v>
      </c>
      <c r="M1202" s="583"/>
      <c r="N1202" s="589">
        <f>5.6005+(L1202*K1202)</f>
        <v>15.1736</v>
      </c>
      <c r="O1202" s="589"/>
    </row>
    <row r="1203" spans="1:15" s="109" customFormat="1" ht="15" customHeight="1">
      <c r="A1203" s="445"/>
      <c r="B1203" s="337"/>
      <c r="C1203" s="1019" t="s">
        <v>1894</v>
      </c>
      <c r="D1203" s="1019"/>
      <c r="E1203" s="1019"/>
      <c r="F1203" s="1019"/>
      <c r="G1203" s="389" t="s">
        <v>61</v>
      </c>
      <c r="H1203" s="443">
        <v>1.1000000000000001</v>
      </c>
      <c r="I1203" s="590"/>
      <c r="J1203" s="582"/>
      <c r="K1203" s="583">
        <v>1</v>
      </c>
      <c r="L1203" s="583">
        <f>9.5731</f>
        <v>9.5731000000000002</v>
      </c>
      <c r="M1203" s="583"/>
      <c r="N1203" s="589">
        <f>5.6005+(L1203*K1203)</f>
        <v>15.1736</v>
      </c>
      <c r="O1203" s="589"/>
    </row>
    <row r="1204" spans="1:15" s="109" customFormat="1" ht="15" customHeight="1">
      <c r="A1204" s="445"/>
      <c r="B1204" s="337"/>
      <c r="C1204" s="1045" t="s">
        <v>1558</v>
      </c>
      <c r="D1204" s="1045"/>
      <c r="E1204" s="1045"/>
      <c r="F1204" s="1045"/>
      <c r="G1204" s="389"/>
      <c r="H1204" s="443">
        <v>1.1000000000000001</v>
      </c>
      <c r="I1204" s="590"/>
      <c r="J1204" s="582"/>
      <c r="K1204" s="583"/>
      <c r="L1204" s="583"/>
      <c r="M1204" s="583"/>
      <c r="N1204" s="589"/>
      <c r="O1204" s="589"/>
    </row>
    <row r="1205" spans="1:15" s="109" customFormat="1" ht="15" customHeight="1">
      <c r="A1205" s="445"/>
      <c r="B1205" s="337"/>
      <c r="C1205" s="1019" t="s">
        <v>1895</v>
      </c>
      <c r="D1205" s="1019"/>
      <c r="E1205" s="1019"/>
      <c r="F1205" s="1019"/>
      <c r="G1205" s="389" t="s">
        <v>61</v>
      </c>
      <c r="H1205" s="443">
        <v>1.1000000000000001</v>
      </c>
      <c r="I1205" s="590"/>
      <c r="J1205" s="582"/>
      <c r="K1205" s="583">
        <v>1.7</v>
      </c>
      <c r="L1205" s="583">
        <f>5.7657</f>
        <v>5.7656999999999998</v>
      </c>
      <c r="M1205" s="583"/>
      <c r="N1205" s="589">
        <f>2.14+(L1205*K1205)</f>
        <v>11.941689999999999</v>
      </c>
      <c r="O1205" s="589"/>
    </row>
    <row r="1206" spans="1:15" s="109" customFormat="1" ht="15" customHeight="1">
      <c r="A1206" s="445"/>
      <c r="B1206" s="337"/>
      <c r="C1206" s="1019" t="s">
        <v>1896</v>
      </c>
      <c r="D1206" s="1019"/>
      <c r="E1206" s="1019"/>
      <c r="F1206" s="1019"/>
      <c r="G1206" s="389" t="s">
        <v>61</v>
      </c>
      <c r="H1206" s="443">
        <v>1.1000000000000001</v>
      </c>
      <c r="I1206" s="590"/>
      <c r="J1206" s="582"/>
      <c r="K1206" s="583">
        <v>1.7</v>
      </c>
      <c r="L1206" s="583">
        <f>5.7657</f>
        <v>5.7656999999999998</v>
      </c>
      <c r="M1206" s="583"/>
      <c r="N1206" s="589">
        <f>2.14+(L1206*K1206)</f>
        <v>11.941689999999999</v>
      </c>
      <c r="O1206" s="589"/>
    </row>
    <row r="1207" spans="1:15" ht="40.5" customHeight="1">
      <c r="A1207" s="378">
        <f>ORÇAMENTO!A133</f>
        <v>98546</v>
      </c>
      <c r="B1207" s="377" t="str">
        <f>ORÇAMENTO!C133</f>
        <v>8.04</v>
      </c>
      <c r="C1207" s="1003" t="str">
        <f>ORÇAMENTO!D133</f>
        <v>IMPERMEABILIZAÇÃO DE SUPERFÍCIE COM MANTA ASFÁLTICA, UMA CAMADA, INCLUSIVE APLICAÇÃO DE PRIMER ASFÁLTICO, E=3MM. AF_06/2018</v>
      </c>
      <c r="D1207" s="1003"/>
      <c r="E1207" s="1003"/>
      <c r="F1207" s="1003"/>
      <c r="G1207" s="425" t="str">
        <f>ORÇAMENTO!E133</f>
        <v>M²</v>
      </c>
      <c r="H1207" s="383"/>
      <c r="I1207" s="115"/>
      <c r="J1207" s="380"/>
      <c r="K1207" s="115"/>
      <c r="L1207" s="115"/>
      <c r="M1207" s="115"/>
      <c r="N1207" s="115">
        <f>SUM(N1208:N1213)</f>
        <v>991.01685000000009</v>
      </c>
      <c r="O1207" s="116"/>
    </row>
    <row r="1208" spans="1:15" s="109" customFormat="1" ht="16.5" customHeight="1">
      <c r="A1208" s="342"/>
      <c r="B1208" s="342"/>
      <c r="C1208" s="1008" t="s">
        <v>1897</v>
      </c>
      <c r="D1208" s="1008"/>
      <c r="E1208" s="1008"/>
      <c r="F1208" s="1008"/>
      <c r="G1208" s="343"/>
      <c r="H1208" s="446">
        <v>1.1000000000000001</v>
      </c>
      <c r="I1208" s="400"/>
      <c r="J1208" s="400"/>
      <c r="K1208" s="123"/>
      <c r="L1208" s="123"/>
      <c r="M1208" s="123"/>
      <c r="N1208" s="124"/>
      <c r="O1208" s="124"/>
    </row>
    <row r="1209" spans="1:15" s="109" customFormat="1" ht="16.5" customHeight="1">
      <c r="A1209" s="342"/>
      <c r="B1209" s="342"/>
      <c r="C1209" s="1009" t="s">
        <v>1886</v>
      </c>
      <c r="D1209" s="1009"/>
      <c r="E1209" s="1009"/>
      <c r="F1209" s="1009"/>
      <c r="G1209" s="343" t="s">
        <v>61</v>
      </c>
      <c r="H1209" s="693"/>
      <c r="I1209" s="432"/>
      <c r="J1209" s="400"/>
      <c r="K1209" s="123"/>
      <c r="L1209" s="123"/>
      <c r="M1209" s="123"/>
      <c r="N1209" s="608">
        <v>28.066500000000001</v>
      </c>
      <c r="O1209" s="124"/>
    </row>
    <row r="1210" spans="1:15" s="109" customFormat="1" ht="16.5" customHeight="1">
      <c r="A1210" s="342"/>
      <c r="B1210" s="342"/>
      <c r="C1210" s="1009" t="s">
        <v>1887</v>
      </c>
      <c r="D1210" s="1009"/>
      <c r="E1210" s="1009"/>
      <c r="F1210" s="1009"/>
      <c r="G1210" s="343" t="s">
        <v>61</v>
      </c>
      <c r="H1210" s="446"/>
      <c r="I1210" s="432"/>
      <c r="J1210" s="400"/>
      <c r="K1210" s="123"/>
      <c r="L1210" s="123"/>
      <c r="M1210" s="123"/>
      <c r="N1210" s="608">
        <v>64.452799999999996</v>
      </c>
      <c r="O1210" s="124"/>
    </row>
    <row r="1211" spans="1:15" s="109" customFormat="1" ht="16.5" customHeight="1">
      <c r="A1211" s="342"/>
      <c r="B1211" s="342"/>
      <c r="C1211" s="1009" t="s">
        <v>1888</v>
      </c>
      <c r="D1211" s="1009"/>
      <c r="E1211" s="1009"/>
      <c r="F1211" s="1009"/>
      <c r="G1211" s="343" t="s">
        <v>61</v>
      </c>
      <c r="H1211" s="446"/>
      <c r="I1211" s="432"/>
      <c r="J1211" s="400"/>
      <c r="K1211" s="123"/>
      <c r="L1211" s="123"/>
      <c r="M1211" s="123"/>
      <c r="N1211" s="608">
        <v>177.7397</v>
      </c>
      <c r="O1211" s="124"/>
    </row>
    <row r="1212" spans="1:15" s="109" customFormat="1" ht="16.5" customHeight="1">
      <c r="A1212" s="342"/>
      <c r="B1212" s="342"/>
      <c r="C1212" s="1009" t="s">
        <v>1889</v>
      </c>
      <c r="D1212" s="1009"/>
      <c r="E1212" s="1009"/>
      <c r="F1212" s="1009"/>
      <c r="G1212" s="343" t="s">
        <v>61</v>
      </c>
      <c r="H1212" s="446"/>
      <c r="I1212" s="432"/>
      <c r="J1212" s="400"/>
      <c r="K1212" s="123"/>
      <c r="L1212" s="123"/>
      <c r="M1212" s="123"/>
      <c r="N1212" s="312">
        <f>596.3491-16.497</f>
        <v>579.85210000000006</v>
      </c>
      <c r="O1212" s="124"/>
    </row>
    <row r="1213" spans="1:15" ht="16.5" customHeight="1">
      <c r="A1213" s="342"/>
      <c r="B1213" s="342"/>
      <c r="C1213" s="1019" t="s">
        <v>1898</v>
      </c>
      <c r="D1213" s="1019"/>
      <c r="E1213" s="1019"/>
      <c r="F1213" s="1019"/>
      <c r="G1213" s="343" t="s">
        <v>61</v>
      </c>
      <c r="H1213" s="446"/>
      <c r="I1213" s="149"/>
      <c r="J1213" s="400"/>
      <c r="K1213" s="123">
        <v>0.5</v>
      </c>
      <c r="L1213" s="123">
        <f>(28.92+35.3608+59.3931+158.1376)</f>
        <v>281.81150000000002</v>
      </c>
      <c r="M1213" s="123"/>
      <c r="N1213" s="124">
        <f>K1213*L1213</f>
        <v>140.90575000000001</v>
      </c>
      <c r="O1213" s="124"/>
    </row>
    <row r="1214" spans="1:15" ht="29.25" customHeight="1">
      <c r="A1214" s="378">
        <f>ORÇAMENTO!A134</f>
        <v>98567</v>
      </c>
      <c r="B1214" s="377" t="str">
        <f>ORÇAMENTO!C134</f>
        <v>8.05</v>
      </c>
      <c r="C1214" s="1003" t="str">
        <f>ORÇAMENTO!D134</f>
        <v>PROTEÇÃO MECÂNICA DE SUPERFICIE HORIZONTAL COM ARGAMASSA DE CIMENTO E AREIA, TRAÇO 1:3, E=4CM. AF_06/2018</v>
      </c>
      <c r="D1214" s="1003"/>
      <c r="E1214" s="1003"/>
      <c r="F1214" s="1003"/>
      <c r="G1214" s="425" t="str">
        <f>ORÇAMENTO!E134</f>
        <v>M²</v>
      </c>
      <c r="H1214" s="383"/>
      <c r="I1214" s="115"/>
      <c r="J1214" s="380"/>
      <c r="K1214" s="115"/>
      <c r="L1214" s="115"/>
      <c r="M1214" s="115"/>
      <c r="N1214" s="115">
        <f>SUM(N1215:N1218)</f>
        <v>850.11110000000008</v>
      </c>
      <c r="O1214" s="116"/>
    </row>
    <row r="1215" spans="1:15" s="109" customFormat="1" ht="16.5" customHeight="1">
      <c r="A1215" s="342"/>
      <c r="B1215" s="342"/>
      <c r="C1215" s="1009" t="s">
        <v>1886</v>
      </c>
      <c r="D1215" s="1009"/>
      <c r="E1215" s="1009"/>
      <c r="F1215" s="1009"/>
      <c r="G1215" s="343" t="s">
        <v>61</v>
      </c>
      <c r="H1215" s="693"/>
      <c r="I1215" s="400"/>
      <c r="J1215" s="400"/>
      <c r="K1215" s="123"/>
      <c r="L1215" s="123"/>
      <c r="M1215" s="123"/>
      <c r="N1215" s="608">
        <v>28.066500000000001</v>
      </c>
      <c r="O1215" s="124"/>
    </row>
    <row r="1216" spans="1:15" ht="16.5" customHeight="1">
      <c r="A1216" s="342"/>
      <c r="B1216" s="342"/>
      <c r="C1216" s="1009" t="s">
        <v>1887</v>
      </c>
      <c r="D1216" s="1009"/>
      <c r="E1216" s="1009"/>
      <c r="F1216" s="1009"/>
      <c r="G1216" s="343" t="s">
        <v>61</v>
      </c>
      <c r="H1216" s="446"/>
      <c r="I1216" s="432"/>
      <c r="J1216" s="400"/>
      <c r="K1216" s="123"/>
      <c r="L1216" s="123"/>
      <c r="M1216" s="123"/>
      <c r="N1216" s="608">
        <v>64.452799999999996</v>
      </c>
      <c r="O1216" s="312"/>
    </row>
    <row r="1217" spans="1:15" s="129" customFormat="1" ht="16.5" customHeight="1">
      <c r="A1217" s="337"/>
      <c r="B1217" s="447"/>
      <c r="C1217" s="1019" t="s">
        <v>1888</v>
      </c>
      <c r="D1217" s="1019"/>
      <c r="E1217" s="1019"/>
      <c r="F1217" s="1019"/>
      <c r="G1217" s="442" t="s">
        <v>61</v>
      </c>
      <c r="H1217" s="443"/>
      <c r="I1217" s="444"/>
      <c r="J1217" s="444"/>
      <c r="K1217" s="117"/>
      <c r="L1217" s="117"/>
      <c r="M1217" s="303"/>
      <c r="N1217" s="608">
        <v>177.7397</v>
      </c>
      <c r="O1217" s="307"/>
    </row>
    <row r="1218" spans="1:15" s="129" customFormat="1" ht="16.5" customHeight="1">
      <c r="A1218" s="337"/>
      <c r="B1218" s="447"/>
      <c r="C1218" s="1019" t="s">
        <v>1889</v>
      </c>
      <c r="D1218" s="1019"/>
      <c r="E1218" s="1019"/>
      <c r="F1218" s="1019"/>
      <c r="G1218" s="442" t="s">
        <v>61</v>
      </c>
      <c r="H1218" s="443"/>
      <c r="I1218" s="444"/>
      <c r="J1218" s="444"/>
      <c r="K1218" s="117"/>
      <c r="L1218" s="117"/>
      <c r="M1218" s="303"/>
      <c r="N1218" s="307">
        <f>596.3491-16.497</f>
        <v>579.85210000000006</v>
      </c>
      <c r="O1218" s="307"/>
    </row>
    <row r="1219" spans="1:15" ht="29.25" customHeight="1">
      <c r="A1219" s="378">
        <f>ORÇAMENTO!A135</f>
        <v>98564</v>
      </c>
      <c r="B1219" s="377" t="str">
        <f>ORÇAMENTO!C135</f>
        <v>8.06</v>
      </c>
      <c r="C1219" s="1003" t="str">
        <f>ORÇAMENTO!D135</f>
        <v>PROTEÇÃO MECÂNICA DE SUPERFÍCIE VERTICAL COM ARGAMASSA DE CIMENTO E AREIA, TRAÇO 1:3, E=2CM. AF_06/2018</v>
      </c>
      <c r="D1219" s="1003"/>
      <c r="E1219" s="1003"/>
      <c r="F1219" s="1003"/>
      <c r="G1219" s="425" t="str">
        <f>ORÇAMENTO!E135</f>
        <v>M²</v>
      </c>
      <c r="H1219" s="383"/>
      <c r="I1219" s="115"/>
      <c r="J1219" s="380"/>
      <c r="K1219" s="115"/>
      <c r="L1219" s="115"/>
      <c r="M1219" s="115"/>
      <c r="N1219" s="115">
        <f>SUM(N1220:N1220)</f>
        <v>140.90575000000001</v>
      </c>
      <c r="O1219" s="116"/>
    </row>
    <row r="1220" spans="1:15" s="129" customFormat="1" ht="16.5" customHeight="1">
      <c r="A1220" s="342"/>
      <c r="B1220" s="342"/>
      <c r="C1220" s="1019" t="s">
        <v>1898</v>
      </c>
      <c r="D1220" s="1019"/>
      <c r="E1220" s="1019"/>
      <c r="F1220" s="1019"/>
      <c r="G1220" s="343" t="s">
        <v>61</v>
      </c>
      <c r="H1220" s="446"/>
      <c r="I1220" s="149"/>
      <c r="J1220" s="400"/>
      <c r="K1220" s="123">
        <v>0.5</v>
      </c>
      <c r="L1220" s="123">
        <f>(28.92+35.3608+59.3931+158.1376)</f>
        <v>281.81150000000002</v>
      </c>
      <c r="M1220" s="123"/>
      <c r="N1220" s="124">
        <f>K1220*L1220</f>
        <v>140.90575000000001</v>
      </c>
      <c r="O1220" s="124"/>
    </row>
    <row r="1221" spans="1:15" ht="12.75" customHeight="1">
      <c r="A1221" s="373" t="s">
        <v>11</v>
      </c>
      <c r="B1221" s="374" t="s">
        <v>13</v>
      </c>
      <c r="C1221" s="1048" t="s">
        <v>1443</v>
      </c>
      <c r="D1221" s="1048"/>
      <c r="E1221" s="1048"/>
      <c r="F1221" s="1048"/>
      <c r="G1221" s="374" t="s">
        <v>15</v>
      </c>
      <c r="H1221" s="375" t="s">
        <v>1444</v>
      </c>
      <c r="I1221" s="106" t="s">
        <v>1445</v>
      </c>
      <c r="J1221" s="106" t="s">
        <v>1446</v>
      </c>
      <c r="K1221" s="375" t="s">
        <v>1447</v>
      </c>
      <c r="L1221" s="375" t="s">
        <v>1448</v>
      </c>
      <c r="M1221" s="374" t="s">
        <v>1457</v>
      </c>
      <c r="N1221" s="375" t="s">
        <v>1450</v>
      </c>
      <c r="O1221" s="375" t="s">
        <v>1451</v>
      </c>
    </row>
    <row r="1222" spans="1:15" ht="12.75" customHeight="1">
      <c r="A1222" s="376"/>
      <c r="B1222" s="376" t="str">
        <f>ORÇAMENTO!C136</f>
        <v>9.00</v>
      </c>
      <c r="C1222" s="1008" t="str">
        <f>ORÇAMENTO!D136</f>
        <v>ESQUADRIAS E FERRAGENS</v>
      </c>
      <c r="D1222" s="1008"/>
      <c r="E1222" s="1008"/>
      <c r="F1222" s="1008"/>
      <c r="G1222" s="1082"/>
      <c r="H1222" s="1082"/>
      <c r="I1222" s="1082"/>
      <c r="J1222" s="1082"/>
      <c r="K1222" s="1082"/>
      <c r="L1222" s="1082"/>
      <c r="M1222" s="1082"/>
      <c r="N1222" s="1082"/>
      <c r="O1222" s="1082"/>
    </row>
    <row r="1223" spans="1:15" ht="12.75" customHeight="1">
      <c r="A1223" s="376"/>
      <c r="B1223" s="376" t="str">
        <f>ORÇAMENTO!C137</f>
        <v>9.01</v>
      </c>
      <c r="C1223" s="1008" t="str">
        <f>ORÇAMENTO!D137</f>
        <v>DE MADEIRA</v>
      </c>
      <c r="D1223" s="1008"/>
      <c r="E1223" s="1008"/>
      <c r="F1223" s="1008"/>
      <c r="G1223" s="1039"/>
      <c r="H1223" s="1039"/>
      <c r="I1223" s="1039"/>
      <c r="J1223" s="1039"/>
      <c r="K1223" s="1039"/>
      <c r="L1223" s="1039"/>
      <c r="M1223" s="1039"/>
      <c r="N1223" s="1039"/>
      <c r="O1223" s="1039"/>
    </row>
    <row r="1224" spans="1:15" s="129" customFormat="1" ht="30" customHeight="1">
      <c r="A1224" s="377">
        <f>ORÇAMENTO!A138</f>
        <v>3764</v>
      </c>
      <c r="B1224" s="377" t="str">
        <f>ORÇAMENTO!C138</f>
        <v>9.01.01</v>
      </c>
      <c r="C1224" s="1003" t="str">
        <f>ORÇAMENTO!D138</f>
        <v>PORTA EM MADEIRA COMPENSADA (CANELA), LISA, SEMI-ÔCA, 0.80 X 2.10 M, REVESTIDA C/FÓRMICA, INCLUSIVE BATENTES E FERRAGENS</v>
      </c>
      <c r="D1224" s="1003"/>
      <c r="E1224" s="1003"/>
      <c r="F1224" s="1003"/>
      <c r="G1224" s="425" t="str">
        <f>ORÇAMENTO!E138</f>
        <v xml:space="preserve">UN </v>
      </c>
      <c r="H1224" s="383">
        <f>SUM(H1225:H1249)</f>
        <v>30</v>
      </c>
      <c r="I1224" s="115"/>
      <c r="J1224" s="380"/>
      <c r="K1224" s="115"/>
      <c r="L1224" s="115"/>
      <c r="M1224" s="115"/>
      <c r="N1224" s="115"/>
      <c r="O1224" s="116"/>
    </row>
    <row r="1225" spans="1:15" s="129" customFormat="1" ht="13.5" customHeight="1">
      <c r="A1225" s="404"/>
      <c r="B1225" s="404"/>
      <c r="C1225" s="1002" t="s">
        <v>1899</v>
      </c>
      <c r="D1225" s="1002"/>
      <c r="E1225" s="1002"/>
      <c r="F1225" s="1002"/>
      <c r="G1225" s="389" t="s">
        <v>55</v>
      </c>
      <c r="H1225" s="448">
        <v>1</v>
      </c>
      <c r="I1225" s="694"/>
      <c r="J1225" s="448"/>
      <c r="K1225" s="448"/>
      <c r="L1225" s="694"/>
      <c r="M1225" s="694"/>
      <c r="N1225" s="448"/>
      <c r="O1225" s="131"/>
    </row>
    <row r="1226" spans="1:15" s="129" customFormat="1" ht="13.5" customHeight="1">
      <c r="A1226" s="404"/>
      <c r="B1226" s="404"/>
      <c r="C1226" s="1002" t="s">
        <v>1900</v>
      </c>
      <c r="D1226" s="1002"/>
      <c r="E1226" s="1002"/>
      <c r="F1226" s="1002"/>
      <c r="G1226" s="389" t="s">
        <v>55</v>
      </c>
      <c r="H1226" s="448">
        <v>1</v>
      </c>
      <c r="I1226" s="694"/>
      <c r="J1226" s="448"/>
      <c r="K1226" s="448"/>
      <c r="L1226" s="694"/>
      <c r="M1226" s="694"/>
      <c r="N1226" s="448"/>
      <c r="O1226" s="131"/>
    </row>
    <row r="1227" spans="1:15" s="129" customFormat="1" ht="13.5" customHeight="1">
      <c r="A1227" s="404"/>
      <c r="B1227" s="404"/>
      <c r="C1227" s="1002" t="s">
        <v>1901</v>
      </c>
      <c r="D1227" s="1002"/>
      <c r="E1227" s="1002"/>
      <c r="F1227" s="1002"/>
      <c r="G1227" s="389" t="s">
        <v>55</v>
      </c>
      <c r="H1227" s="448">
        <v>1</v>
      </c>
      <c r="I1227" s="694"/>
      <c r="J1227" s="448"/>
      <c r="K1227" s="448"/>
      <c r="L1227" s="694"/>
      <c r="M1227" s="694"/>
      <c r="N1227" s="448"/>
      <c r="O1227" s="131"/>
    </row>
    <row r="1228" spans="1:15" s="129" customFormat="1" ht="13.5" customHeight="1">
      <c r="A1228" s="404"/>
      <c r="B1228" s="404"/>
      <c r="C1228" s="1002" t="s">
        <v>1902</v>
      </c>
      <c r="D1228" s="1002"/>
      <c r="E1228" s="1002"/>
      <c r="F1228" s="1002"/>
      <c r="G1228" s="389" t="s">
        <v>55</v>
      </c>
      <c r="H1228" s="448">
        <v>2</v>
      </c>
      <c r="I1228" s="694"/>
      <c r="J1228" s="448"/>
      <c r="K1228" s="448"/>
      <c r="L1228" s="694"/>
      <c r="M1228" s="694"/>
      <c r="N1228" s="448"/>
      <c r="O1228" s="131"/>
    </row>
    <row r="1229" spans="1:15" s="129" customFormat="1" ht="13.5" customHeight="1">
      <c r="A1229" s="404"/>
      <c r="B1229" s="404"/>
      <c r="C1229" s="1002" t="s">
        <v>1903</v>
      </c>
      <c r="D1229" s="1002"/>
      <c r="E1229" s="1002"/>
      <c r="F1229" s="1002"/>
      <c r="G1229" s="389" t="s">
        <v>55</v>
      </c>
      <c r="H1229" s="448">
        <v>1</v>
      </c>
      <c r="I1229" s="694"/>
      <c r="J1229" s="448"/>
      <c r="K1229" s="448"/>
      <c r="L1229" s="694"/>
      <c r="M1229" s="694"/>
      <c r="N1229" s="448"/>
      <c r="O1229" s="131"/>
    </row>
    <row r="1230" spans="1:15" s="129" customFormat="1" ht="13.5" customHeight="1">
      <c r="A1230" s="404"/>
      <c r="B1230" s="404"/>
      <c r="C1230" s="1002" t="s">
        <v>1904</v>
      </c>
      <c r="D1230" s="1002"/>
      <c r="E1230" s="1002"/>
      <c r="F1230" s="1002"/>
      <c r="G1230" s="389" t="s">
        <v>55</v>
      </c>
      <c r="H1230" s="448">
        <v>1</v>
      </c>
      <c r="I1230" s="694"/>
      <c r="J1230" s="448"/>
      <c r="K1230" s="448"/>
      <c r="L1230" s="694"/>
      <c r="M1230" s="694"/>
      <c r="N1230" s="448"/>
      <c r="O1230" s="131"/>
    </row>
    <row r="1231" spans="1:15" s="129" customFormat="1" ht="13.5" customHeight="1">
      <c r="A1231" s="404"/>
      <c r="B1231" s="404"/>
      <c r="C1231" s="1002" t="s">
        <v>1905</v>
      </c>
      <c r="D1231" s="1002"/>
      <c r="E1231" s="1002"/>
      <c r="F1231" s="1002"/>
      <c r="G1231" s="389" t="s">
        <v>55</v>
      </c>
      <c r="H1231" s="448">
        <v>1</v>
      </c>
      <c r="I1231" s="694"/>
      <c r="J1231" s="448"/>
      <c r="K1231" s="448"/>
      <c r="L1231" s="694"/>
      <c r="M1231" s="694"/>
      <c r="N1231" s="448"/>
      <c r="O1231" s="131"/>
    </row>
    <row r="1232" spans="1:15" s="129" customFormat="1" ht="13.5" customHeight="1">
      <c r="A1232" s="404"/>
      <c r="B1232" s="404"/>
      <c r="C1232" s="1002" t="s">
        <v>1906</v>
      </c>
      <c r="D1232" s="1002"/>
      <c r="E1232" s="1002"/>
      <c r="F1232" s="1002"/>
      <c r="G1232" s="389" t="s">
        <v>55</v>
      </c>
      <c r="H1232" s="448">
        <v>1</v>
      </c>
      <c r="I1232" s="694"/>
      <c r="J1232" s="448"/>
      <c r="K1232" s="448"/>
      <c r="L1232" s="694"/>
      <c r="M1232" s="694"/>
      <c r="N1232" s="448"/>
      <c r="O1232" s="131"/>
    </row>
    <row r="1233" spans="1:15" s="129" customFormat="1" ht="13.5" customHeight="1">
      <c r="A1233" s="404"/>
      <c r="B1233" s="404"/>
      <c r="C1233" s="1002" t="s">
        <v>1907</v>
      </c>
      <c r="D1233" s="1002"/>
      <c r="E1233" s="1002"/>
      <c r="F1233" s="1002"/>
      <c r="G1233" s="389" t="s">
        <v>55</v>
      </c>
      <c r="H1233" s="448">
        <v>2</v>
      </c>
      <c r="I1233" s="694"/>
      <c r="J1233" s="448"/>
      <c r="K1233" s="448"/>
      <c r="L1233" s="694"/>
      <c r="M1233" s="694"/>
      <c r="N1233" s="448"/>
      <c r="O1233" s="131"/>
    </row>
    <row r="1234" spans="1:15" s="129" customFormat="1" ht="13.5" customHeight="1">
      <c r="A1234" s="404"/>
      <c r="B1234" s="404"/>
      <c r="C1234" s="1002" t="s">
        <v>1904</v>
      </c>
      <c r="D1234" s="1002"/>
      <c r="E1234" s="1002"/>
      <c r="F1234" s="1002"/>
      <c r="G1234" s="389" t="s">
        <v>55</v>
      </c>
      <c r="H1234" s="448">
        <v>1</v>
      </c>
      <c r="I1234" s="694"/>
      <c r="J1234" s="448"/>
      <c r="K1234" s="448"/>
      <c r="L1234" s="694"/>
      <c r="M1234" s="694"/>
      <c r="N1234" s="448"/>
      <c r="O1234" s="131"/>
    </row>
    <row r="1235" spans="1:15" s="129" customFormat="1" ht="13.5" customHeight="1">
      <c r="A1235" s="404"/>
      <c r="B1235" s="404"/>
      <c r="C1235" s="1002" t="s">
        <v>1908</v>
      </c>
      <c r="D1235" s="1002"/>
      <c r="E1235" s="1002"/>
      <c r="F1235" s="1002"/>
      <c r="G1235" s="389" t="s">
        <v>55</v>
      </c>
      <c r="H1235" s="448">
        <v>1</v>
      </c>
      <c r="I1235" s="694"/>
      <c r="J1235" s="448"/>
      <c r="K1235" s="448"/>
      <c r="L1235" s="694"/>
      <c r="M1235" s="694"/>
      <c r="N1235" s="448"/>
      <c r="O1235" s="131"/>
    </row>
    <row r="1236" spans="1:15" s="129" customFormat="1" ht="13.5" customHeight="1">
      <c r="A1236" s="404"/>
      <c r="B1236" s="404"/>
      <c r="C1236" s="1002" t="s">
        <v>1909</v>
      </c>
      <c r="D1236" s="1002"/>
      <c r="E1236" s="1002"/>
      <c r="F1236" s="1002"/>
      <c r="G1236" s="389" t="s">
        <v>55</v>
      </c>
      <c r="H1236" s="448">
        <v>1</v>
      </c>
      <c r="I1236" s="694"/>
      <c r="J1236" s="448"/>
      <c r="K1236" s="448"/>
      <c r="L1236" s="694"/>
      <c r="M1236" s="694"/>
      <c r="N1236" s="448"/>
      <c r="O1236" s="131"/>
    </row>
    <row r="1237" spans="1:15" s="129" customFormat="1" ht="13.5" customHeight="1">
      <c r="A1237" s="404"/>
      <c r="B1237" s="404"/>
      <c r="C1237" s="1002" t="s">
        <v>1910</v>
      </c>
      <c r="D1237" s="1002"/>
      <c r="E1237" s="1002"/>
      <c r="F1237" s="1002"/>
      <c r="G1237" s="389" t="s">
        <v>55</v>
      </c>
      <c r="H1237" s="448">
        <v>1</v>
      </c>
      <c r="I1237" s="694"/>
      <c r="J1237" s="448"/>
      <c r="K1237" s="448"/>
      <c r="L1237" s="694"/>
      <c r="M1237" s="694"/>
      <c r="N1237" s="448"/>
      <c r="O1237" s="131"/>
    </row>
    <row r="1238" spans="1:15" s="129" customFormat="1" ht="13.5" customHeight="1">
      <c r="A1238" s="404"/>
      <c r="B1238" s="404"/>
      <c r="C1238" s="1002" t="s">
        <v>1911</v>
      </c>
      <c r="D1238" s="1002"/>
      <c r="E1238" s="1002"/>
      <c r="F1238" s="1002"/>
      <c r="G1238" s="389" t="s">
        <v>55</v>
      </c>
      <c r="H1238" s="448">
        <v>1</v>
      </c>
      <c r="I1238" s="694"/>
      <c r="J1238" s="448"/>
      <c r="K1238" s="448"/>
      <c r="L1238" s="694"/>
      <c r="M1238" s="694"/>
      <c r="N1238" s="448"/>
      <c r="O1238" s="131"/>
    </row>
    <row r="1239" spans="1:15" s="129" customFormat="1" ht="13.5" customHeight="1">
      <c r="A1239" s="404"/>
      <c r="B1239" s="404"/>
      <c r="C1239" s="1002" t="s">
        <v>1912</v>
      </c>
      <c r="D1239" s="1002"/>
      <c r="E1239" s="1002"/>
      <c r="F1239" s="1002"/>
      <c r="G1239" s="389" t="s">
        <v>55</v>
      </c>
      <c r="H1239" s="448">
        <v>1</v>
      </c>
      <c r="I1239" s="694"/>
      <c r="J1239" s="448"/>
      <c r="K1239" s="448"/>
      <c r="L1239" s="694"/>
      <c r="M1239" s="694"/>
      <c r="N1239" s="448"/>
      <c r="O1239" s="131"/>
    </row>
    <row r="1240" spans="1:15" s="129" customFormat="1" ht="13.5" customHeight="1">
      <c r="A1240" s="404"/>
      <c r="B1240" s="404"/>
      <c r="C1240" s="1002" t="s">
        <v>1913</v>
      </c>
      <c r="D1240" s="1002"/>
      <c r="E1240" s="1002"/>
      <c r="F1240" s="1002"/>
      <c r="G1240" s="389" t="s">
        <v>55</v>
      </c>
      <c r="H1240" s="448">
        <v>1</v>
      </c>
      <c r="I1240" s="694"/>
      <c r="J1240" s="448"/>
      <c r="K1240" s="448"/>
      <c r="L1240" s="694"/>
      <c r="M1240" s="694"/>
      <c r="N1240" s="448"/>
      <c r="O1240" s="131"/>
    </row>
    <row r="1241" spans="1:15" s="129" customFormat="1" ht="13.5" customHeight="1">
      <c r="A1241" s="404"/>
      <c r="B1241" s="404"/>
      <c r="C1241" s="1002" t="s">
        <v>1914</v>
      </c>
      <c r="D1241" s="1002"/>
      <c r="E1241" s="1002"/>
      <c r="F1241" s="1002"/>
      <c r="G1241" s="389" t="s">
        <v>55</v>
      </c>
      <c r="H1241" s="448">
        <v>1</v>
      </c>
      <c r="I1241" s="694"/>
      <c r="J1241" s="448"/>
      <c r="K1241" s="448"/>
      <c r="L1241" s="694"/>
      <c r="M1241" s="694"/>
      <c r="N1241" s="448"/>
      <c r="O1241" s="131"/>
    </row>
    <row r="1242" spans="1:15" s="129" customFormat="1" ht="13.5" customHeight="1">
      <c r="A1242" s="404"/>
      <c r="B1242" s="404"/>
      <c r="C1242" s="1002" t="s">
        <v>1915</v>
      </c>
      <c r="D1242" s="1002"/>
      <c r="E1242" s="1002"/>
      <c r="F1242" s="1002"/>
      <c r="G1242" s="389" t="s">
        <v>55</v>
      </c>
      <c r="H1242" s="448">
        <v>1</v>
      </c>
      <c r="I1242" s="694"/>
      <c r="J1242" s="448"/>
      <c r="K1242" s="448"/>
      <c r="L1242" s="694"/>
      <c r="M1242" s="694"/>
      <c r="N1242" s="448"/>
      <c r="O1242" s="131"/>
    </row>
    <row r="1243" spans="1:15" s="129" customFormat="1" ht="13.5" customHeight="1">
      <c r="A1243" s="404"/>
      <c r="B1243" s="404"/>
      <c r="C1243" s="1002" t="s">
        <v>1916</v>
      </c>
      <c r="D1243" s="1002"/>
      <c r="E1243" s="1002"/>
      <c r="F1243" s="1002"/>
      <c r="G1243" s="389" t="s">
        <v>55</v>
      </c>
      <c r="H1243" s="448">
        <v>2</v>
      </c>
      <c r="I1243" s="694"/>
      <c r="J1243" s="448"/>
      <c r="K1243" s="448"/>
      <c r="L1243" s="694"/>
      <c r="M1243" s="694"/>
      <c r="N1243" s="448"/>
      <c r="O1243" s="131"/>
    </row>
    <row r="1244" spans="1:15" s="129" customFormat="1" ht="13.5" customHeight="1">
      <c r="A1244" s="404"/>
      <c r="B1244" s="404"/>
      <c r="C1244" s="1002" t="s">
        <v>1904</v>
      </c>
      <c r="D1244" s="1002"/>
      <c r="E1244" s="1002"/>
      <c r="F1244" s="1002"/>
      <c r="G1244" s="389" t="s">
        <v>55</v>
      </c>
      <c r="H1244" s="448">
        <v>1</v>
      </c>
      <c r="I1244" s="694"/>
      <c r="J1244" s="448"/>
      <c r="K1244" s="448"/>
      <c r="L1244" s="694"/>
      <c r="M1244" s="694"/>
      <c r="N1244" s="448"/>
      <c r="O1244" s="131"/>
    </row>
    <row r="1245" spans="1:15" s="129" customFormat="1" ht="13.5" customHeight="1">
      <c r="A1245" s="404"/>
      <c r="B1245" s="404"/>
      <c r="C1245" s="1002" t="s">
        <v>1917</v>
      </c>
      <c r="D1245" s="1002"/>
      <c r="E1245" s="1002"/>
      <c r="F1245" s="1002"/>
      <c r="G1245" s="389" t="s">
        <v>55</v>
      </c>
      <c r="H1245" s="448">
        <v>1</v>
      </c>
      <c r="I1245" s="694"/>
      <c r="J1245" s="448"/>
      <c r="K1245" s="448"/>
      <c r="L1245" s="694"/>
      <c r="M1245" s="694"/>
      <c r="N1245" s="448"/>
      <c r="O1245" s="131"/>
    </row>
    <row r="1246" spans="1:15" s="129" customFormat="1" ht="13.5" customHeight="1">
      <c r="A1246" s="404"/>
      <c r="B1246" s="404"/>
      <c r="C1246" s="1002" t="s">
        <v>1907</v>
      </c>
      <c r="D1246" s="1002"/>
      <c r="E1246" s="1002"/>
      <c r="F1246" s="1002"/>
      <c r="G1246" s="389" t="s">
        <v>55</v>
      </c>
      <c r="H1246" s="448">
        <v>2</v>
      </c>
      <c r="I1246" s="694"/>
      <c r="J1246" s="448"/>
      <c r="K1246" s="448"/>
      <c r="L1246" s="694"/>
      <c r="M1246" s="694"/>
      <c r="N1246" s="448"/>
      <c r="O1246" s="131"/>
    </row>
    <row r="1247" spans="1:15" s="129" customFormat="1" ht="13.5" customHeight="1">
      <c r="A1247" s="404"/>
      <c r="B1247" s="404"/>
      <c r="C1247" s="1002" t="s">
        <v>1918</v>
      </c>
      <c r="D1247" s="1002"/>
      <c r="E1247" s="1002"/>
      <c r="F1247" s="1002"/>
      <c r="G1247" s="389" t="s">
        <v>55</v>
      </c>
      <c r="H1247" s="448">
        <v>1</v>
      </c>
      <c r="I1247" s="694"/>
      <c r="J1247" s="448"/>
      <c r="K1247" s="448"/>
      <c r="L1247" s="694"/>
      <c r="M1247" s="694"/>
      <c r="N1247" s="448"/>
      <c r="O1247" s="131"/>
    </row>
    <row r="1248" spans="1:15" s="129" customFormat="1" ht="13.5" customHeight="1">
      <c r="A1248" s="404"/>
      <c r="B1248" s="404"/>
      <c r="C1248" s="1002" t="s">
        <v>1919</v>
      </c>
      <c r="D1248" s="1002"/>
      <c r="E1248" s="1002"/>
      <c r="F1248" s="1002"/>
      <c r="G1248" s="389" t="s">
        <v>55</v>
      </c>
      <c r="H1248" s="448">
        <v>1</v>
      </c>
      <c r="I1248" s="694"/>
      <c r="J1248" s="448"/>
      <c r="K1248" s="448"/>
      <c r="L1248" s="694"/>
      <c r="M1248" s="694"/>
      <c r="N1248" s="448"/>
      <c r="O1248" s="131"/>
    </row>
    <row r="1249" spans="1:15" s="129" customFormat="1" ht="13.5" customHeight="1">
      <c r="A1249" s="404"/>
      <c r="B1249" s="404"/>
      <c r="C1249" s="1002" t="s">
        <v>1920</v>
      </c>
      <c r="D1249" s="1002"/>
      <c r="E1249" s="1002"/>
      <c r="F1249" s="1002"/>
      <c r="G1249" s="389" t="s">
        <v>55</v>
      </c>
      <c r="H1249" s="448">
        <v>2</v>
      </c>
      <c r="I1249" s="694"/>
      <c r="J1249" s="448"/>
      <c r="K1249" s="448"/>
      <c r="L1249" s="694"/>
      <c r="M1249" s="694"/>
      <c r="N1249" s="448"/>
      <c r="O1249" s="131"/>
    </row>
    <row r="1250" spans="1:15" s="127" customFormat="1" ht="56.25" customHeight="1">
      <c r="A1250" s="377" t="str">
        <f>ORÇAMENTO!A139</f>
        <v>COMP - 00/04</v>
      </c>
      <c r="B1250" s="377" t="str">
        <f>ORÇAMENTO!C139</f>
        <v>9.01.02</v>
      </c>
      <c r="C1250" s="1003" t="str">
        <f>ORÇAMENTO!D139</f>
        <v>PORTA EM MADEIRA COMPENSADA (CANELA), LISA, SEMI-ÔCA, 0.70 X 2.10 M, REVESTIDA C/FÓRMICA, INCLUSIVE BATENTES E FERRAGENS</v>
      </c>
      <c r="D1250" s="1003"/>
      <c r="E1250" s="1003"/>
      <c r="F1250" s="1003"/>
      <c r="G1250" s="425" t="str">
        <f>ORÇAMENTO!E139</f>
        <v xml:space="preserve">UN </v>
      </c>
      <c r="H1250" s="383">
        <f>SUM(H1251:H1258)</f>
        <v>8</v>
      </c>
      <c r="I1250" s="115"/>
      <c r="J1250" s="380"/>
      <c r="K1250" s="115"/>
      <c r="L1250" s="115"/>
      <c r="M1250" s="115"/>
      <c r="N1250" s="115"/>
      <c r="O1250" s="116"/>
    </row>
    <row r="1251" spans="1:15" s="127" customFormat="1" ht="14.25" customHeight="1">
      <c r="A1251" s="342"/>
      <c r="B1251" s="342"/>
      <c r="C1251" s="1027" t="s">
        <v>1921</v>
      </c>
      <c r="D1251" s="1027"/>
      <c r="E1251" s="1027"/>
      <c r="F1251" s="1027"/>
      <c r="G1251" s="389" t="s">
        <v>55</v>
      </c>
      <c r="H1251" s="385">
        <v>1</v>
      </c>
      <c r="I1251" s="400"/>
      <c r="J1251" s="400"/>
      <c r="K1251" s="123"/>
      <c r="L1251" s="123"/>
      <c r="M1251" s="123"/>
      <c r="N1251" s="124"/>
      <c r="O1251" s="124"/>
    </row>
    <row r="1252" spans="1:15" s="127" customFormat="1" ht="14.25" customHeight="1">
      <c r="A1252" s="342"/>
      <c r="B1252" s="342"/>
      <c r="C1252" s="1027" t="s">
        <v>1922</v>
      </c>
      <c r="D1252" s="1027"/>
      <c r="E1252" s="1027"/>
      <c r="F1252" s="1027"/>
      <c r="G1252" s="389" t="s">
        <v>55</v>
      </c>
      <c r="H1252" s="385">
        <v>1</v>
      </c>
      <c r="I1252" s="400"/>
      <c r="J1252" s="400"/>
      <c r="K1252" s="123"/>
      <c r="L1252" s="123"/>
      <c r="M1252" s="123"/>
      <c r="N1252" s="124"/>
      <c r="O1252" s="124"/>
    </row>
    <row r="1253" spans="1:15" s="127" customFormat="1" ht="14.25" customHeight="1">
      <c r="A1253" s="342"/>
      <c r="B1253" s="342"/>
      <c r="C1253" s="1027" t="s">
        <v>1923</v>
      </c>
      <c r="D1253" s="1027"/>
      <c r="E1253" s="1027"/>
      <c r="F1253" s="1027"/>
      <c r="G1253" s="389" t="s">
        <v>55</v>
      </c>
      <c r="H1253" s="385">
        <v>1</v>
      </c>
      <c r="I1253" s="400"/>
      <c r="J1253" s="400"/>
      <c r="K1253" s="123"/>
      <c r="L1253" s="123"/>
      <c r="M1253" s="123"/>
      <c r="N1253" s="124"/>
      <c r="O1253" s="124"/>
    </row>
    <row r="1254" spans="1:15" s="127" customFormat="1" ht="14.25" customHeight="1">
      <c r="A1254" s="342"/>
      <c r="B1254" s="342"/>
      <c r="C1254" s="1027" t="s">
        <v>1924</v>
      </c>
      <c r="D1254" s="1027"/>
      <c r="E1254" s="1027"/>
      <c r="F1254" s="1027"/>
      <c r="G1254" s="389" t="s">
        <v>55</v>
      </c>
      <c r="H1254" s="385">
        <v>1</v>
      </c>
      <c r="I1254" s="400"/>
      <c r="J1254" s="400"/>
      <c r="K1254" s="123"/>
      <c r="L1254" s="123"/>
      <c r="M1254" s="123"/>
      <c r="N1254" s="124"/>
      <c r="O1254" s="124"/>
    </row>
    <row r="1255" spans="1:15" s="127" customFormat="1" ht="14.25" customHeight="1">
      <c r="A1255" s="342"/>
      <c r="B1255" s="342"/>
      <c r="C1255" s="1027" t="s">
        <v>1925</v>
      </c>
      <c r="D1255" s="1027"/>
      <c r="E1255" s="1027"/>
      <c r="F1255" s="1027"/>
      <c r="G1255" s="389" t="s">
        <v>55</v>
      </c>
      <c r="H1255" s="385">
        <v>1</v>
      </c>
      <c r="I1255" s="400"/>
      <c r="J1255" s="400"/>
      <c r="K1255" s="123"/>
      <c r="L1255" s="123"/>
      <c r="M1255" s="123"/>
      <c r="N1255" s="124"/>
      <c r="O1255" s="124"/>
    </row>
    <row r="1256" spans="1:15" s="127" customFormat="1" ht="14.25" customHeight="1">
      <c r="A1256" s="342"/>
      <c r="B1256" s="342"/>
      <c r="C1256" s="1027" t="s">
        <v>1926</v>
      </c>
      <c r="D1256" s="1027"/>
      <c r="E1256" s="1027"/>
      <c r="F1256" s="1027"/>
      <c r="G1256" s="389" t="s">
        <v>55</v>
      </c>
      <c r="H1256" s="385">
        <v>1</v>
      </c>
      <c r="I1256" s="400"/>
      <c r="J1256" s="400"/>
      <c r="K1256" s="123"/>
      <c r="L1256" s="123"/>
      <c r="M1256" s="123"/>
      <c r="N1256" s="124"/>
      <c r="O1256" s="124"/>
    </row>
    <row r="1257" spans="1:15" s="127" customFormat="1" ht="14.25" customHeight="1">
      <c r="A1257" s="342"/>
      <c r="B1257" s="342"/>
      <c r="C1257" s="1027" t="s">
        <v>1927</v>
      </c>
      <c r="D1257" s="1027"/>
      <c r="E1257" s="1027"/>
      <c r="F1257" s="1027"/>
      <c r="G1257" s="389" t="s">
        <v>55</v>
      </c>
      <c r="H1257" s="385">
        <v>1</v>
      </c>
      <c r="I1257" s="400"/>
      <c r="J1257" s="400"/>
      <c r="K1257" s="123"/>
      <c r="L1257" s="123"/>
      <c r="M1257" s="123"/>
      <c r="N1257" s="124"/>
      <c r="O1257" s="124"/>
    </row>
    <row r="1258" spans="1:15" s="127" customFormat="1" ht="14.25" customHeight="1">
      <c r="A1258" s="342"/>
      <c r="B1258" s="342"/>
      <c r="C1258" s="1027" t="s">
        <v>1928</v>
      </c>
      <c r="D1258" s="1027"/>
      <c r="E1258" s="1027"/>
      <c r="F1258" s="1027"/>
      <c r="G1258" s="389" t="s">
        <v>55</v>
      </c>
      <c r="H1258" s="385">
        <v>1</v>
      </c>
      <c r="I1258" s="400"/>
      <c r="J1258" s="400"/>
      <c r="K1258" s="123"/>
      <c r="L1258" s="123"/>
      <c r="M1258" s="123"/>
      <c r="N1258" s="124"/>
      <c r="O1258" s="124"/>
    </row>
    <row r="1259" spans="1:15" s="129" customFormat="1" ht="48" customHeight="1">
      <c r="A1259" s="377" t="str">
        <f>ORÇAMENTO!A140</f>
        <v>COMP - 00/05</v>
      </c>
      <c r="B1259" s="377" t="str">
        <f>ORÇAMENTO!C140</f>
        <v>9.01.03</v>
      </c>
      <c r="C1259" s="1003" t="str">
        <f>ORÇAMENTO!D140</f>
        <v>PORTA EM MADEIRA COMPENSADA (CANELA), LISA, SEMI-ÔCA, 0.90 X 2.10 M, REVESTIDA C/FÓRMICA, INCLUSIVE BATENTES E FERRAGENS - COM PUXADOR HORIZONTAL E REVESTIMENTO COM PROTEÇÃO CONTRA IMPACTOS</v>
      </c>
      <c r="D1259" s="1003"/>
      <c r="E1259" s="1003"/>
      <c r="F1259" s="1003"/>
      <c r="G1259" s="425" t="str">
        <f>ORÇAMENTO!E140</f>
        <v xml:space="preserve">UN </v>
      </c>
      <c r="H1259" s="383">
        <f>SUM(H1260:H1261)</f>
        <v>2</v>
      </c>
      <c r="I1259" s="380"/>
      <c r="J1259" s="380"/>
      <c r="K1259" s="115"/>
      <c r="L1259" s="115"/>
      <c r="M1259" s="115"/>
      <c r="N1259" s="116"/>
      <c r="O1259" s="116"/>
    </row>
    <row r="1260" spans="1:15" s="129" customFormat="1" ht="12.75" customHeight="1">
      <c r="A1260" s="342"/>
      <c r="B1260" s="342"/>
      <c r="C1260" s="1027" t="s">
        <v>1929</v>
      </c>
      <c r="D1260" s="1027"/>
      <c r="E1260" s="1027"/>
      <c r="F1260" s="1027"/>
      <c r="G1260" s="343" t="s">
        <v>55</v>
      </c>
      <c r="H1260" s="401">
        <v>1</v>
      </c>
      <c r="I1260" s="400"/>
      <c r="J1260" s="400"/>
      <c r="K1260" s="123"/>
      <c r="L1260" s="123"/>
      <c r="M1260" s="123"/>
      <c r="N1260" s="124"/>
      <c r="O1260" s="124"/>
    </row>
    <row r="1261" spans="1:15" s="129" customFormat="1" ht="12.75" customHeight="1">
      <c r="A1261" s="342"/>
      <c r="B1261" s="342"/>
      <c r="C1261" s="1027" t="s">
        <v>1930</v>
      </c>
      <c r="D1261" s="1027"/>
      <c r="E1261" s="1027"/>
      <c r="F1261" s="1027"/>
      <c r="G1261" s="343" t="s">
        <v>55</v>
      </c>
      <c r="H1261" s="401">
        <v>1</v>
      </c>
      <c r="I1261" s="400"/>
      <c r="J1261" s="400"/>
      <c r="K1261" s="123"/>
      <c r="L1261" s="123"/>
      <c r="M1261" s="123"/>
      <c r="N1261" s="124"/>
      <c r="O1261" s="124"/>
    </row>
    <row r="1262" spans="1:15" s="127" customFormat="1" ht="53.25" customHeight="1">
      <c r="A1262" s="377">
        <f>ORÇAMENTO!A141</f>
        <v>8106</v>
      </c>
      <c r="B1262" s="377" t="str">
        <f>ORÇAMENTO!C141</f>
        <v>9.01.04</v>
      </c>
      <c r="C1262" s="1003" t="str">
        <f>ORÇAMENTO!D141</f>
        <v>PORTA EM MADEIRA COMPENSADA (CANELA), LISA, SEMI-ÔCA, 1,60 X 2,10 M, 2 FOLHAS, TIPO VAI-VEM, INCLUSIVE BATENTES E FERRAGENS, EXCETO VIDROS</v>
      </c>
      <c r="D1262" s="1003"/>
      <c r="E1262" s="1003"/>
      <c r="F1262" s="1003"/>
      <c r="G1262" s="425" t="str">
        <f>ORÇAMENTO!E141</f>
        <v xml:space="preserve">UN </v>
      </c>
      <c r="H1262" s="383">
        <f>SUM(H1263:H1263)</f>
        <v>1</v>
      </c>
      <c r="I1262" s="380"/>
      <c r="J1262" s="380"/>
      <c r="K1262" s="115"/>
      <c r="L1262" s="115"/>
      <c r="M1262" s="115"/>
      <c r="N1262" s="116"/>
      <c r="O1262" s="116"/>
    </row>
    <row r="1263" spans="1:15" s="127" customFormat="1" ht="12.75" customHeight="1">
      <c r="A1263" s="342"/>
      <c r="B1263" s="342"/>
      <c r="C1263" s="1027" t="s">
        <v>1931</v>
      </c>
      <c r="D1263" s="1027"/>
      <c r="E1263" s="1027"/>
      <c r="F1263" s="1027"/>
      <c r="G1263" s="343" t="s">
        <v>55</v>
      </c>
      <c r="H1263" s="401">
        <v>1</v>
      </c>
      <c r="I1263" s="400"/>
      <c r="J1263" s="400"/>
      <c r="K1263" s="123"/>
      <c r="L1263" s="123"/>
      <c r="M1263" s="123"/>
      <c r="N1263" s="124"/>
      <c r="O1263" s="124"/>
    </row>
    <row r="1264" spans="1:15" s="127" customFormat="1">
      <c r="A1264" s="344">
        <f>ORÇAMENTO!A142</f>
        <v>7788</v>
      </c>
      <c r="B1264" s="344" t="str">
        <f>ORÇAMENTO!C142</f>
        <v>9.01.05</v>
      </c>
      <c r="C1264" s="1014" t="str">
        <f>ORÇAMENTO!D142</f>
        <v>PORTA EM MADEIRA COMPENSADA (CANELA), LISA, SEMI-ÔCA, (0.60 X 1,60 A 2.10 M), REVESTIDA C/FÓRMICA, INCLUSIVE FERRAGENS (LIVRE/OCUPADO), PARA USO EM DIVISÓRIAS GRANITO OU MÁRMORE</v>
      </c>
      <c r="D1264" s="1014"/>
      <c r="E1264" s="1014"/>
      <c r="F1264" s="1014"/>
      <c r="G1264" s="435" t="str">
        <f>ORÇAMENTO!E142</f>
        <v xml:space="preserve">UN </v>
      </c>
      <c r="H1264" s="436">
        <f>SUM(H1265:H1266)</f>
        <v>4</v>
      </c>
      <c r="I1264" s="429"/>
      <c r="J1264" s="429"/>
      <c r="K1264" s="304"/>
      <c r="L1264" s="304"/>
      <c r="M1264" s="304"/>
      <c r="N1264" s="552"/>
      <c r="O1264" s="552"/>
    </row>
    <row r="1265" spans="1:15" s="127" customFormat="1" ht="12.75" customHeight="1">
      <c r="A1265" s="342"/>
      <c r="B1265" s="464"/>
      <c r="C1265" s="1009" t="s">
        <v>1932</v>
      </c>
      <c r="D1265" s="1009"/>
      <c r="E1265" s="1009"/>
      <c r="F1265" s="1009"/>
      <c r="G1265" s="437" t="s">
        <v>55</v>
      </c>
      <c r="H1265" s="401">
        <v>2</v>
      </c>
      <c r="I1265" s="432"/>
      <c r="J1265" s="432"/>
      <c r="K1265" s="123"/>
      <c r="L1265" s="123"/>
      <c r="M1265" s="310"/>
      <c r="N1265" s="124"/>
      <c r="O1265" s="124"/>
    </row>
    <row r="1266" spans="1:15" s="127" customFormat="1" ht="12.75" customHeight="1">
      <c r="A1266" s="342"/>
      <c r="B1266" s="464"/>
      <c r="C1266" s="1009" t="s">
        <v>1933</v>
      </c>
      <c r="D1266" s="1009"/>
      <c r="E1266" s="1009"/>
      <c r="F1266" s="1009"/>
      <c r="G1266" s="437" t="s">
        <v>55</v>
      </c>
      <c r="H1266" s="401">
        <v>2</v>
      </c>
      <c r="I1266" s="432"/>
      <c r="J1266" s="432"/>
      <c r="K1266" s="123"/>
      <c r="L1266" s="123"/>
      <c r="M1266" s="310"/>
      <c r="N1266" s="124"/>
      <c r="O1266" s="124"/>
    </row>
    <row r="1267" spans="1:15" s="127" customFormat="1">
      <c r="A1267" s="344">
        <f>ORÇAMENTO!A143</f>
        <v>2308</v>
      </c>
      <c r="B1267" s="344" t="str">
        <f>ORÇAMENTO!C143</f>
        <v>9.01.06</v>
      </c>
      <c r="C1267" s="1014" t="str">
        <f>ORÇAMENTO!D143</f>
        <v>PINTURA DE ACABAMENTO COM LIXAMENTO E APLICAÇÃO DE 02 DEMÃOS DE ESMALTE SINTÉTICO SOBRE MADEIRA - R1 - COR BRONZE PALM SPRINGS</v>
      </c>
      <c r="D1267" s="1014"/>
      <c r="E1267" s="1014"/>
      <c r="F1267" s="1014"/>
      <c r="G1267" s="435" t="str">
        <f>ORÇAMENTO!E143</f>
        <v>M²</v>
      </c>
      <c r="H1267" s="436"/>
      <c r="I1267" s="429"/>
      <c r="J1267" s="429"/>
      <c r="K1267" s="304"/>
      <c r="L1267" s="304"/>
      <c r="M1267" s="304"/>
      <c r="N1267" s="552">
        <f>SUM(N1268:N1271)</f>
        <v>65.599999999999994</v>
      </c>
      <c r="O1267" s="552"/>
    </row>
    <row r="1268" spans="1:15" s="127" customFormat="1" ht="12.75" customHeight="1">
      <c r="A1268" s="342"/>
      <c r="B1268" s="464"/>
      <c r="C1268" s="1009" t="s">
        <v>1857</v>
      </c>
      <c r="D1268" s="1009"/>
      <c r="E1268" s="1009"/>
      <c r="F1268" s="1009"/>
      <c r="G1268" s="437" t="s">
        <v>61</v>
      </c>
      <c r="H1268" s="401">
        <v>30</v>
      </c>
      <c r="I1268" s="432">
        <f>(0.06+0.2+0.06)</f>
        <v>0.32</v>
      </c>
      <c r="J1268" s="432">
        <f>2.1+0.8+2.1</f>
        <v>5</v>
      </c>
      <c r="K1268" s="123"/>
      <c r="L1268" s="123"/>
      <c r="M1268" s="310"/>
      <c r="N1268" s="124">
        <f>I1268*J1268*H1268</f>
        <v>48</v>
      </c>
      <c r="O1268" s="124"/>
    </row>
    <row r="1269" spans="1:15" s="127" customFormat="1" ht="12.75" customHeight="1">
      <c r="A1269" s="342"/>
      <c r="B1269" s="464"/>
      <c r="C1269" s="1009" t="s">
        <v>1858</v>
      </c>
      <c r="D1269" s="1009"/>
      <c r="E1269" s="1009"/>
      <c r="F1269" s="1009"/>
      <c r="G1269" s="437" t="s">
        <v>61</v>
      </c>
      <c r="H1269" s="401">
        <v>8</v>
      </c>
      <c r="I1269" s="432">
        <f>(0.06+0.2+0.06)</f>
        <v>0.32</v>
      </c>
      <c r="J1269" s="432">
        <f>2.1+0.7+2.1</f>
        <v>4.9000000000000004</v>
      </c>
      <c r="K1269" s="123"/>
      <c r="L1269" s="123"/>
      <c r="M1269" s="310"/>
      <c r="N1269" s="124">
        <f>I1269*J1269*H1269</f>
        <v>12.544</v>
      </c>
      <c r="O1269" s="124"/>
    </row>
    <row r="1270" spans="1:15" s="127" customFormat="1" ht="12.75" customHeight="1">
      <c r="A1270" s="342"/>
      <c r="B1270" s="464"/>
      <c r="C1270" s="1009" t="s">
        <v>1859</v>
      </c>
      <c r="D1270" s="1009"/>
      <c r="E1270" s="1009"/>
      <c r="F1270" s="1009"/>
      <c r="G1270" s="437" t="s">
        <v>61</v>
      </c>
      <c r="H1270" s="401">
        <v>2</v>
      </c>
      <c r="I1270" s="432">
        <f>(0.06+0.2+0.06)</f>
        <v>0.32</v>
      </c>
      <c r="J1270" s="432">
        <f>2.1+0.8+2.1</f>
        <v>5</v>
      </c>
      <c r="K1270" s="123"/>
      <c r="L1270" s="123"/>
      <c r="M1270" s="310"/>
      <c r="N1270" s="124">
        <f>I1270*J1270*H1270</f>
        <v>3.2</v>
      </c>
      <c r="O1270" s="124"/>
    </row>
    <row r="1271" spans="1:15" s="127" customFormat="1" ht="12.75" customHeight="1">
      <c r="A1271" s="342"/>
      <c r="B1271" s="464"/>
      <c r="C1271" s="1009" t="s">
        <v>1867</v>
      </c>
      <c r="D1271" s="1009"/>
      <c r="E1271" s="1009"/>
      <c r="F1271" s="1009"/>
      <c r="G1271" s="437" t="s">
        <v>61</v>
      </c>
      <c r="H1271" s="401">
        <v>1</v>
      </c>
      <c r="I1271" s="432">
        <f>(0.06+0.2+0.06)</f>
        <v>0.32</v>
      </c>
      <c r="J1271" s="432">
        <f>2.1+1.6+2.1</f>
        <v>5.8000000000000007</v>
      </c>
      <c r="K1271" s="123"/>
      <c r="L1271" s="123"/>
      <c r="M1271" s="310"/>
      <c r="N1271" s="124">
        <f>I1271*J1271*H1271</f>
        <v>1.8560000000000003</v>
      </c>
      <c r="O1271" s="124"/>
    </row>
    <row r="1272" spans="1:15" ht="12.75" customHeight="1">
      <c r="A1272" s="373" t="s">
        <v>11</v>
      </c>
      <c r="B1272" s="374" t="s">
        <v>13</v>
      </c>
      <c r="C1272" s="1048" t="s">
        <v>1443</v>
      </c>
      <c r="D1272" s="1048"/>
      <c r="E1272" s="1048"/>
      <c r="F1272" s="1048"/>
      <c r="G1272" s="374" t="s">
        <v>15</v>
      </c>
      <c r="H1272" s="375" t="s">
        <v>1444</v>
      </c>
      <c r="I1272" s="106" t="s">
        <v>1445</v>
      </c>
      <c r="J1272" s="106" t="s">
        <v>1446</v>
      </c>
      <c r="K1272" s="375" t="s">
        <v>1447</v>
      </c>
      <c r="L1272" s="375" t="s">
        <v>1448</v>
      </c>
      <c r="M1272" s="374" t="s">
        <v>1457</v>
      </c>
      <c r="N1272" s="375" t="s">
        <v>1450</v>
      </c>
      <c r="O1272" s="375" t="s">
        <v>1451</v>
      </c>
    </row>
    <row r="1273" spans="1:15" ht="12.75" customHeight="1">
      <c r="A1273" s="376"/>
      <c r="B1273" s="376" t="str">
        <f>ORÇAMENTO!C144</f>
        <v>9.02</v>
      </c>
      <c r="C1273" s="1008" t="str">
        <f>ORÇAMENTO!D144</f>
        <v>ESQUADRIAS DE ALUMÍNIO</v>
      </c>
      <c r="D1273" s="1008"/>
      <c r="E1273" s="1008"/>
      <c r="F1273" s="1008"/>
      <c r="G1273" s="1039"/>
      <c r="H1273" s="1039"/>
      <c r="I1273" s="1039"/>
      <c r="J1273" s="1039"/>
      <c r="K1273" s="1039"/>
      <c r="L1273" s="1039"/>
      <c r="M1273" s="1039"/>
      <c r="N1273" s="1039"/>
      <c r="O1273" s="1039"/>
    </row>
    <row r="1274" spans="1:15" ht="34.5" customHeight="1">
      <c r="A1274" s="377" t="str">
        <f>ORÇAMENTO!A145</f>
        <v>MERC01/01</v>
      </c>
      <c r="B1274" s="377" t="str">
        <f>ORÇAMENTO!C145</f>
        <v>9.02.01</v>
      </c>
      <c r="C1274" s="1003" t="str">
        <f>ORÇAMENTO!D145</f>
        <v>FORNECIMENTO E INSTALAÇÃO DE ESQUADRIAS DE ALUMINIO ANODIZADO NA COR BRONZE, INCLUSIVE VIDROS, FECHOS, FECHADURAS E TODOS ACESSÓRIOS DE INSTALAÇÃO</v>
      </c>
      <c r="D1274" s="1003"/>
      <c r="E1274" s="1003"/>
      <c r="F1274" s="1003"/>
      <c r="G1274" s="425" t="str">
        <f>ORÇAMENTO!E145</f>
        <v>M²</v>
      </c>
      <c r="H1274" s="383"/>
      <c r="I1274" s="380"/>
      <c r="J1274" s="380"/>
      <c r="K1274" s="115"/>
      <c r="L1274" s="115"/>
      <c r="M1274" s="115"/>
      <c r="N1274" s="116">
        <f>SUM(N1275:N1294)</f>
        <v>182.02899999999997</v>
      </c>
      <c r="O1274" s="116"/>
    </row>
    <row r="1275" spans="1:15" ht="39.75" customHeight="1">
      <c r="A1275" s="376"/>
      <c r="B1275" s="376"/>
      <c r="C1275" s="1015" t="s">
        <v>1934</v>
      </c>
      <c r="D1275" s="1015"/>
      <c r="E1275" s="1015"/>
      <c r="F1275" s="1015"/>
      <c r="G1275" s="389" t="s">
        <v>61</v>
      </c>
      <c r="H1275" s="337">
        <v>1</v>
      </c>
      <c r="I1275" s="448">
        <v>9.6</v>
      </c>
      <c r="J1275" s="449">
        <v>4</v>
      </c>
      <c r="K1275" s="418"/>
      <c r="L1275" s="653"/>
      <c r="M1275" s="653"/>
      <c r="N1275" s="307">
        <f>I1275*J1275*H1275</f>
        <v>38.4</v>
      </c>
      <c r="O1275" s="654"/>
    </row>
    <row r="1276" spans="1:15" ht="40.5" customHeight="1">
      <c r="A1276" s="342"/>
      <c r="B1276" s="342"/>
      <c r="C1276" s="1015" t="s">
        <v>1935</v>
      </c>
      <c r="D1276" s="1015"/>
      <c r="E1276" s="1015"/>
      <c r="F1276" s="1015"/>
      <c r="G1276" s="389" t="s">
        <v>61</v>
      </c>
      <c r="H1276" s="337">
        <v>1</v>
      </c>
      <c r="I1276" s="448">
        <v>2.75</v>
      </c>
      <c r="J1276" s="449">
        <v>2.5</v>
      </c>
      <c r="K1276" s="337"/>
      <c r="L1276" s="448"/>
      <c r="M1276" s="449"/>
      <c r="N1276" s="307">
        <f t="shared" ref="N1276:N1294" si="49">I1276*J1276*H1276</f>
        <v>6.875</v>
      </c>
      <c r="O1276" s="655"/>
    </row>
    <row r="1277" spans="1:15" ht="39" customHeight="1">
      <c r="A1277" s="342"/>
      <c r="B1277" s="342"/>
      <c r="C1277" s="1062" t="s">
        <v>1936</v>
      </c>
      <c r="D1277" s="1062"/>
      <c r="E1277" s="1062"/>
      <c r="F1277" s="1062"/>
      <c r="G1277" s="389" t="s">
        <v>61</v>
      </c>
      <c r="H1277" s="337">
        <v>1</v>
      </c>
      <c r="I1277" s="448">
        <v>2.2000000000000002</v>
      </c>
      <c r="J1277" s="449">
        <v>4</v>
      </c>
      <c r="K1277" s="337"/>
      <c r="L1277" s="448"/>
      <c r="M1277" s="449"/>
      <c r="N1277" s="307">
        <f t="shared" si="49"/>
        <v>8.8000000000000007</v>
      </c>
      <c r="O1277" s="655"/>
    </row>
    <row r="1278" spans="1:15" ht="29.25" customHeight="1">
      <c r="A1278" s="342"/>
      <c r="B1278" s="342"/>
      <c r="C1278" s="1062" t="s">
        <v>1937</v>
      </c>
      <c r="D1278" s="1062"/>
      <c r="E1278" s="1062"/>
      <c r="F1278" s="1062"/>
      <c r="G1278" s="389" t="s">
        <v>61</v>
      </c>
      <c r="H1278" s="337">
        <v>2</v>
      </c>
      <c r="I1278" s="448">
        <v>3.3</v>
      </c>
      <c r="J1278" s="449">
        <v>2.5</v>
      </c>
      <c r="K1278" s="337"/>
      <c r="L1278" s="448"/>
      <c r="M1278" s="449"/>
      <c r="N1278" s="307">
        <f t="shared" si="49"/>
        <v>16.5</v>
      </c>
      <c r="O1278" s="655"/>
    </row>
    <row r="1279" spans="1:15" ht="41.25" customHeight="1">
      <c r="A1279" s="342"/>
      <c r="B1279" s="342"/>
      <c r="C1279" s="1062" t="s">
        <v>1938</v>
      </c>
      <c r="D1279" s="1062"/>
      <c r="E1279" s="1062"/>
      <c r="F1279" s="1062"/>
      <c r="G1279" s="389" t="s">
        <v>61</v>
      </c>
      <c r="H1279" s="337">
        <v>13</v>
      </c>
      <c r="I1279" s="448">
        <v>1.46</v>
      </c>
      <c r="J1279" s="449">
        <v>1.5</v>
      </c>
      <c r="K1279" s="337"/>
      <c r="L1279" s="448"/>
      <c r="M1279" s="449"/>
      <c r="N1279" s="307">
        <f t="shared" si="49"/>
        <v>28.47</v>
      </c>
      <c r="O1279" s="655"/>
    </row>
    <row r="1280" spans="1:15" ht="36.75" customHeight="1">
      <c r="A1280" s="342"/>
      <c r="B1280" s="342"/>
      <c r="C1280" s="1062" t="s">
        <v>1939</v>
      </c>
      <c r="D1280" s="1062"/>
      <c r="E1280" s="1062"/>
      <c r="F1280" s="1062"/>
      <c r="G1280" s="389" t="s">
        <v>61</v>
      </c>
      <c r="H1280" s="337">
        <v>2</v>
      </c>
      <c r="I1280" s="448">
        <v>3.5</v>
      </c>
      <c r="J1280" s="449">
        <v>1.9</v>
      </c>
      <c r="K1280" s="337"/>
      <c r="L1280" s="448"/>
      <c r="M1280" s="449"/>
      <c r="N1280" s="307">
        <f t="shared" si="49"/>
        <v>13.299999999999999</v>
      </c>
      <c r="O1280" s="655"/>
    </row>
    <row r="1281" spans="1:16" ht="44.25" customHeight="1">
      <c r="A1281" s="342"/>
      <c r="B1281" s="342"/>
      <c r="C1281" s="1062" t="s">
        <v>1940</v>
      </c>
      <c r="D1281" s="1062"/>
      <c r="E1281" s="1062"/>
      <c r="F1281" s="1062"/>
      <c r="G1281" s="389" t="s">
        <v>61</v>
      </c>
      <c r="H1281" s="337">
        <v>1</v>
      </c>
      <c r="I1281" s="448">
        <v>2.4</v>
      </c>
      <c r="J1281" s="449">
        <v>4</v>
      </c>
      <c r="K1281" s="337"/>
      <c r="L1281" s="448"/>
      <c r="M1281" s="449"/>
      <c r="N1281" s="307">
        <f t="shared" si="49"/>
        <v>9.6</v>
      </c>
      <c r="O1281" s="655"/>
    </row>
    <row r="1282" spans="1:16" ht="44.25" customHeight="1">
      <c r="A1282" s="342"/>
      <c r="B1282" s="342"/>
      <c r="C1282" s="1062" t="s">
        <v>1941</v>
      </c>
      <c r="D1282" s="1062"/>
      <c r="E1282" s="1062"/>
      <c r="F1282" s="1062"/>
      <c r="G1282" s="389" t="s">
        <v>61</v>
      </c>
      <c r="H1282" s="337">
        <v>1</v>
      </c>
      <c r="I1282" s="448">
        <v>3.05</v>
      </c>
      <c r="J1282" s="449">
        <v>4</v>
      </c>
      <c r="K1282" s="337"/>
      <c r="L1282" s="448"/>
      <c r="M1282" s="449"/>
      <c r="N1282" s="307">
        <f t="shared" si="49"/>
        <v>12.2</v>
      </c>
      <c r="O1282" s="655"/>
    </row>
    <row r="1283" spans="1:16" ht="42" customHeight="1">
      <c r="A1283" s="342"/>
      <c r="B1283" s="342"/>
      <c r="C1283" s="1062" t="s">
        <v>1942</v>
      </c>
      <c r="D1283" s="1062"/>
      <c r="E1283" s="1062"/>
      <c r="F1283" s="1062"/>
      <c r="G1283" s="389" t="s">
        <v>61</v>
      </c>
      <c r="H1283" s="337">
        <v>1</v>
      </c>
      <c r="I1283" s="448">
        <v>1.63</v>
      </c>
      <c r="J1283" s="449">
        <v>2.8</v>
      </c>
      <c r="K1283" s="337"/>
      <c r="L1283" s="448"/>
      <c r="M1283" s="449"/>
      <c r="N1283" s="307">
        <f t="shared" si="49"/>
        <v>4.5639999999999992</v>
      </c>
      <c r="O1283" s="655"/>
    </row>
    <row r="1284" spans="1:16" ht="39" customHeight="1">
      <c r="A1284" s="342"/>
      <c r="B1284" s="342"/>
      <c r="C1284" s="1062" t="s">
        <v>1943</v>
      </c>
      <c r="D1284" s="1062"/>
      <c r="E1284" s="1062"/>
      <c r="F1284" s="1062"/>
      <c r="G1284" s="389" t="s">
        <v>61</v>
      </c>
      <c r="H1284" s="337">
        <v>1</v>
      </c>
      <c r="I1284" s="448">
        <v>3.61</v>
      </c>
      <c r="J1284" s="449">
        <v>2.8</v>
      </c>
      <c r="K1284" s="337"/>
      <c r="L1284" s="448"/>
      <c r="M1284" s="449"/>
      <c r="N1284" s="307">
        <f t="shared" si="49"/>
        <v>10.107999999999999</v>
      </c>
      <c r="O1284" s="655"/>
    </row>
    <row r="1285" spans="1:16" ht="37.5" customHeight="1">
      <c r="A1285" s="342"/>
      <c r="B1285" s="342"/>
      <c r="C1285" s="1062" t="s">
        <v>1944</v>
      </c>
      <c r="D1285" s="1062"/>
      <c r="E1285" s="1062"/>
      <c r="F1285" s="1062"/>
      <c r="G1285" s="389" t="s">
        <v>61</v>
      </c>
      <c r="H1285" s="337">
        <v>1</v>
      </c>
      <c r="I1285" s="448">
        <v>1.94</v>
      </c>
      <c r="J1285" s="449">
        <v>2.8</v>
      </c>
      <c r="K1285" s="337"/>
      <c r="L1285" s="448"/>
      <c r="M1285" s="449"/>
      <c r="N1285" s="307">
        <f t="shared" si="49"/>
        <v>5.4319999999999995</v>
      </c>
      <c r="O1285" s="655"/>
    </row>
    <row r="1286" spans="1:16" ht="27.75" customHeight="1">
      <c r="A1286" s="342"/>
      <c r="B1286" s="342"/>
      <c r="C1286" s="1062" t="s">
        <v>1945</v>
      </c>
      <c r="D1286" s="1062"/>
      <c r="E1286" s="1062"/>
      <c r="F1286" s="1062"/>
      <c r="G1286" s="389" t="s">
        <v>61</v>
      </c>
      <c r="H1286" s="337">
        <v>7</v>
      </c>
      <c r="I1286" s="448">
        <v>1</v>
      </c>
      <c r="J1286" s="449">
        <v>0.5</v>
      </c>
      <c r="K1286" s="337"/>
      <c r="L1286" s="448"/>
      <c r="M1286" s="449"/>
      <c r="N1286" s="307">
        <f t="shared" si="49"/>
        <v>3.5</v>
      </c>
      <c r="O1286" s="655"/>
    </row>
    <row r="1287" spans="1:16" ht="41.25" customHeight="1">
      <c r="A1287" s="342"/>
      <c r="B1287" s="342"/>
      <c r="C1287" s="1062" t="s">
        <v>1946</v>
      </c>
      <c r="D1287" s="1062"/>
      <c r="E1287" s="1062"/>
      <c r="F1287" s="1062"/>
      <c r="G1287" s="389" t="s">
        <v>61</v>
      </c>
      <c r="H1287" s="337">
        <v>4</v>
      </c>
      <c r="I1287" s="448">
        <v>2.6</v>
      </c>
      <c r="J1287" s="449">
        <v>0.5</v>
      </c>
      <c r="K1287" s="337"/>
      <c r="L1287" s="448"/>
      <c r="M1287" s="449"/>
      <c r="N1287" s="307">
        <f t="shared" si="49"/>
        <v>5.2</v>
      </c>
      <c r="O1287" s="655"/>
      <c r="P1287" s="105" t="s">
        <v>1947</v>
      </c>
    </row>
    <row r="1288" spans="1:16" ht="33" customHeight="1">
      <c r="A1288" s="342"/>
      <c r="B1288" s="342"/>
      <c r="C1288" s="1062" t="s">
        <v>1948</v>
      </c>
      <c r="D1288" s="1062"/>
      <c r="E1288" s="1062"/>
      <c r="F1288" s="1062"/>
      <c r="G1288" s="389" t="s">
        <v>61</v>
      </c>
      <c r="H1288" s="337">
        <v>5</v>
      </c>
      <c r="I1288" s="448">
        <v>2</v>
      </c>
      <c r="J1288" s="449">
        <v>0.5</v>
      </c>
      <c r="K1288" s="337"/>
      <c r="L1288" s="448"/>
      <c r="M1288" s="449"/>
      <c r="N1288" s="307">
        <f t="shared" si="49"/>
        <v>5</v>
      </c>
      <c r="O1288" s="655"/>
      <c r="P1288" s="105" t="str">
        <f>UPPER(P1287)</f>
        <v>PERFIL EM ALUMÍNIO BRONZE COM VISOR DE VIDRO 6MM COM PELÍCULA REFLETENTE ESPELHADA.</v>
      </c>
    </row>
    <row r="1289" spans="1:16" ht="26.25" customHeight="1">
      <c r="A1289" s="342"/>
      <c r="B1289" s="391"/>
      <c r="C1289" s="1062" t="s">
        <v>1949</v>
      </c>
      <c r="D1289" s="1062"/>
      <c r="E1289" s="1062"/>
      <c r="F1289" s="1062"/>
      <c r="G1289" s="389" t="s">
        <v>61</v>
      </c>
      <c r="H1289" s="337">
        <v>1</v>
      </c>
      <c r="I1289" s="448">
        <v>2</v>
      </c>
      <c r="J1289" s="449">
        <v>0.5</v>
      </c>
      <c r="K1289" s="337"/>
      <c r="L1289" s="448"/>
      <c r="M1289" s="449"/>
      <c r="N1289" s="307">
        <f t="shared" si="49"/>
        <v>1</v>
      </c>
      <c r="O1289" s="655"/>
    </row>
    <row r="1290" spans="1:16" ht="27.75" customHeight="1">
      <c r="A1290" s="342"/>
      <c r="B1290" s="391"/>
      <c r="C1290" s="1062" t="s">
        <v>1950</v>
      </c>
      <c r="D1290" s="1062"/>
      <c r="E1290" s="1062"/>
      <c r="F1290" s="1062"/>
      <c r="G1290" s="389" t="s">
        <v>61</v>
      </c>
      <c r="H1290" s="337">
        <v>1</v>
      </c>
      <c r="I1290" s="448">
        <v>1.8</v>
      </c>
      <c r="J1290" s="449">
        <v>1.5</v>
      </c>
      <c r="K1290" s="337"/>
      <c r="L1290" s="448"/>
      <c r="M1290" s="449"/>
      <c r="N1290" s="307">
        <f t="shared" si="49"/>
        <v>2.7</v>
      </c>
      <c r="O1290" s="655"/>
    </row>
    <row r="1291" spans="1:16" ht="31.5" customHeight="1">
      <c r="A1291" s="342"/>
      <c r="B1291" s="391"/>
      <c r="C1291" s="1062" t="s">
        <v>1951</v>
      </c>
      <c r="D1291" s="1062"/>
      <c r="E1291" s="1062"/>
      <c r="F1291" s="1062"/>
      <c r="G1291" s="389" t="s">
        <v>61</v>
      </c>
      <c r="H1291" s="337">
        <v>1</v>
      </c>
      <c r="I1291" s="448">
        <v>1.91</v>
      </c>
      <c r="J1291" s="449">
        <v>1.5</v>
      </c>
      <c r="K1291" s="337"/>
      <c r="L1291" s="448"/>
      <c r="M1291" s="449"/>
      <c r="N1291" s="307">
        <f t="shared" si="49"/>
        <v>2.8649999999999998</v>
      </c>
      <c r="O1291" s="655"/>
    </row>
    <row r="1292" spans="1:16" ht="29.25" customHeight="1">
      <c r="A1292" s="342"/>
      <c r="B1292" s="391"/>
      <c r="C1292" s="1062" t="s">
        <v>1952</v>
      </c>
      <c r="D1292" s="1062"/>
      <c r="E1292" s="1062"/>
      <c r="F1292" s="1062"/>
      <c r="G1292" s="389" t="s">
        <v>61</v>
      </c>
      <c r="H1292" s="337">
        <v>1</v>
      </c>
      <c r="I1292" s="448">
        <v>1.91</v>
      </c>
      <c r="J1292" s="449">
        <v>1.5</v>
      </c>
      <c r="K1292" s="337"/>
      <c r="L1292" s="448"/>
      <c r="M1292" s="449"/>
      <c r="N1292" s="307">
        <f t="shared" si="49"/>
        <v>2.8649999999999998</v>
      </c>
      <c r="O1292" s="655"/>
    </row>
    <row r="1293" spans="1:16" ht="31.5" customHeight="1">
      <c r="A1293" s="342"/>
      <c r="B1293" s="391"/>
      <c r="C1293" s="1062" t="s">
        <v>1953</v>
      </c>
      <c r="D1293" s="1062"/>
      <c r="E1293" s="1062"/>
      <c r="F1293" s="1062"/>
      <c r="G1293" s="389" t="s">
        <v>61</v>
      </c>
      <c r="H1293" s="337">
        <v>2</v>
      </c>
      <c r="I1293" s="448">
        <v>1</v>
      </c>
      <c r="J1293" s="449">
        <v>1</v>
      </c>
      <c r="K1293" s="337"/>
      <c r="L1293" s="448"/>
      <c r="M1293" s="449"/>
      <c r="N1293" s="307">
        <f t="shared" si="49"/>
        <v>2</v>
      </c>
      <c r="O1293" s="655"/>
    </row>
    <row r="1294" spans="1:16" ht="30.75" customHeight="1">
      <c r="A1294" s="342"/>
      <c r="B1294" s="391"/>
      <c r="C1294" s="1062" t="s">
        <v>1954</v>
      </c>
      <c r="D1294" s="1062"/>
      <c r="E1294" s="1062"/>
      <c r="F1294" s="1062"/>
      <c r="G1294" s="389" t="s">
        <v>61</v>
      </c>
      <c r="H1294" s="337">
        <v>1</v>
      </c>
      <c r="I1294" s="448">
        <v>2.65</v>
      </c>
      <c r="J1294" s="449">
        <v>1</v>
      </c>
      <c r="K1294" s="337"/>
      <c r="L1294" s="448"/>
      <c r="M1294" s="449"/>
      <c r="N1294" s="307">
        <f t="shared" si="49"/>
        <v>2.65</v>
      </c>
      <c r="O1294" s="655"/>
    </row>
    <row r="1295" spans="1:16" ht="40.5" customHeight="1">
      <c r="A1295" s="377">
        <f>ORÇAMENTO!A146</f>
        <v>11946</v>
      </c>
      <c r="B1295" s="377" t="str">
        <f>ORÇAMENTO!C146</f>
        <v>9.02.02</v>
      </c>
      <c r="C1295" s="1003" t="str">
        <f>ORÇAMENTO!D146</f>
        <v>PORTA EM ALUMÍNIO, COR N/P/B, MOLDURA-VIDRO,COMPLETA, INCLUSIVE CAIXILHOS, DOBRADIÇAS OU ROLDANAS E FECHADURA, EXCLUSIVE VIDRO</v>
      </c>
      <c r="D1295" s="1003"/>
      <c r="E1295" s="1003"/>
      <c r="F1295" s="1003"/>
      <c r="G1295" s="390" t="str">
        <f>ORÇAMENTO!E146</f>
        <v>M²</v>
      </c>
      <c r="H1295" s="383"/>
      <c r="I1295" s="379"/>
      <c r="J1295" s="380"/>
      <c r="K1295" s="379"/>
      <c r="L1295" s="380"/>
      <c r="M1295" s="379"/>
      <c r="N1295" s="380">
        <f>N1296</f>
        <v>1.704</v>
      </c>
      <c r="O1295" s="379"/>
    </row>
    <row r="1296" spans="1:16" ht="18.75" customHeight="1">
      <c r="A1296" s="342"/>
      <c r="B1296" s="342"/>
      <c r="C1296" s="1000" t="s">
        <v>1955</v>
      </c>
      <c r="D1296" s="1000"/>
      <c r="E1296" s="1000"/>
      <c r="F1296" s="1000"/>
      <c r="G1296" s="343" t="s">
        <v>61</v>
      </c>
      <c r="H1296" s="584">
        <v>1</v>
      </c>
      <c r="I1296" s="582"/>
      <c r="J1296" s="582">
        <v>0.8</v>
      </c>
      <c r="K1296" s="583">
        <v>2.13</v>
      </c>
      <c r="L1296" s="583"/>
      <c r="M1296" s="583"/>
      <c r="N1296" s="589">
        <f>H1296*J1296*K1296</f>
        <v>1.704</v>
      </c>
      <c r="O1296" s="589"/>
    </row>
    <row r="1297" spans="1:15" ht="24" customHeight="1">
      <c r="A1297" s="377">
        <f>ORÇAMENTO!A147</f>
        <v>102162</v>
      </c>
      <c r="B1297" s="377" t="str">
        <f>ORÇAMENTO!C147</f>
        <v>9.02.03</v>
      </c>
      <c r="C1297" s="1003" t="str">
        <f>ORÇAMENTO!D147</f>
        <v>INSTALAÇÃO DE VIDRO LISO INCOLOR, E = 4 MM, EM ESQUADRIA DE ALUMÍNIO OU PVC, FIXADO COM BAGUETE. AF_01/2021_PS</v>
      </c>
      <c r="D1297" s="1003"/>
      <c r="E1297" s="1003"/>
      <c r="F1297" s="1003"/>
      <c r="G1297" s="390" t="str">
        <f>ORÇAMENTO!E147</f>
        <v>M²</v>
      </c>
      <c r="H1297" s="383"/>
      <c r="I1297" s="379"/>
      <c r="J1297" s="380"/>
      <c r="K1297" s="379"/>
      <c r="L1297" s="380"/>
      <c r="M1297" s="379"/>
      <c r="N1297" s="380">
        <f>N1298</f>
        <v>1.704</v>
      </c>
      <c r="O1297" s="379"/>
    </row>
    <row r="1298" spans="1:15" ht="18.75" customHeight="1">
      <c r="A1298" s="342"/>
      <c r="B1298" s="342"/>
      <c r="C1298" s="1000" t="s">
        <v>1955</v>
      </c>
      <c r="D1298" s="1000"/>
      <c r="E1298" s="1000"/>
      <c r="F1298" s="1000"/>
      <c r="G1298" s="343" t="s">
        <v>61</v>
      </c>
      <c r="H1298" s="584">
        <v>1</v>
      </c>
      <c r="I1298" s="582"/>
      <c r="J1298" s="582">
        <v>0.8</v>
      </c>
      <c r="K1298" s="583">
        <v>2.13</v>
      </c>
      <c r="L1298" s="583"/>
      <c r="M1298" s="583"/>
      <c r="N1298" s="589">
        <f>H1298*J1298*K1298</f>
        <v>1.704</v>
      </c>
      <c r="O1298" s="589"/>
    </row>
    <row r="1299" spans="1:15" ht="37.5" customHeight="1">
      <c r="A1299" s="344">
        <f>ORÇAMENTO!A148</f>
        <v>99841</v>
      </c>
      <c r="B1299" s="344" t="str">
        <f>ORÇAMENTO!C148</f>
        <v>9.02.04</v>
      </c>
      <c r="C1299" s="1020" t="str">
        <f>ORÇAMENTO!D148</f>
        <v>GUARDA-CORPO PANORÂMICO COM PERFIS DE ALUMÍNIO E VIDRO LAMINADO 8 MM, FIXADO COM CHUMBADOR MECÂNICO. AF_04/2019_PS</v>
      </c>
      <c r="D1299" s="1020"/>
      <c r="E1299" s="1020"/>
      <c r="F1299" s="1020"/>
      <c r="G1299" s="465" t="str">
        <f>ORÇAMENTO!E148</f>
        <v>M</v>
      </c>
      <c r="H1299" s="436"/>
      <c r="I1299" s="345"/>
      <c r="J1299" s="429"/>
      <c r="K1299" s="345"/>
      <c r="L1299" s="429"/>
      <c r="M1299" s="345"/>
      <c r="N1299" s="429">
        <f>N1300</f>
        <v>10.98</v>
      </c>
      <c r="O1299" s="345"/>
    </row>
    <row r="1300" spans="1:15" ht="18.75" customHeight="1">
      <c r="A1300" s="342"/>
      <c r="B1300" s="464"/>
      <c r="C1300" s="1013" t="s">
        <v>1956</v>
      </c>
      <c r="D1300" s="1013"/>
      <c r="E1300" s="1013"/>
      <c r="F1300" s="1013"/>
      <c r="G1300" s="437" t="s">
        <v>61</v>
      </c>
      <c r="H1300" s="584"/>
      <c r="I1300" s="609"/>
      <c r="J1300" s="609">
        <f>9.1+1.88</f>
        <v>10.98</v>
      </c>
      <c r="K1300" s="583">
        <v>1</v>
      </c>
      <c r="L1300" s="583"/>
      <c r="M1300" s="610"/>
      <c r="N1300" s="589">
        <f>J1300*K1300</f>
        <v>10.98</v>
      </c>
      <c r="O1300" s="589"/>
    </row>
    <row r="1301" spans="1:15" ht="18.75" customHeight="1">
      <c r="A1301" s="344">
        <f>ORÇAMENTO!A149</f>
        <v>9074</v>
      </c>
      <c r="B1301" s="344" t="str">
        <f>ORÇAMENTO!C149</f>
        <v>9.02.05</v>
      </c>
      <c r="C1301" s="1020" t="str">
        <f>ORÇAMENTO!D149</f>
        <v>BRISE EM PERFIL "C" DE ALUMÍNIO DOBRADO ANODIZADO BRANCO</v>
      </c>
      <c r="D1301" s="1020"/>
      <c r="E1301" s="1020"/>
      <c r="F1301" s="1020"/>
      <c r="G1301" s="465" t="str">
        <f>ORÇAMENTO!E149</f>
        <v>M²</v>
      </c>
      <c r="H1301" s="436"/>
      <c r="I1301" s="345"/>
      <c r="J1301" s="429"/>
      <c r="K1301" s="345"/>
      <c r="L1301" s="429"/>
      <c r="M1301" s="345"/>
      <c r="N1301" s="116">
        <f>SUM(N1302:N1303)</f>
        <v>74.52</v>
      </c>
      <c r="O1301" s="345"/>
    </row>
    <row r="1302" spans="1:15" ht="18.75" customHeight="1">
      <c r="A1302" s="342"/>
      <c r="B1302" s="464"/>
      <c r="C1302" s="1013" t="s">
        <v>1957</v>
      </c>
      <c r="D1302" s="1013"/>
      <c r="E1302" s="1013"/>
      <c r="F1302" s="1013"/>
      <c r="G1302" s="437" t="s">
        <v>61</v>
      </c>
      <c r="H1302" s="584"/>
      <c r="I1302" s="609"/>
      <c r="J1302" s="609"/>
      <c r="K1302" s="583"/>
      <c r="L1302" s="583"/>
      <c r="M1302" s="610"/>
      <c r="N1302" s="589">
        <v>18.66</v>
      </c>
      <c r="O1302" s="589"/>
    </row>
    <row r="1303" spans="1:15" ht="18.75" customHeight="1">
      <c r="A1303" s="342"/>
      <c r="B1303" s="464"/>
      <c r="C1303" s="1013" t="s">
        <v>1847</v>
      </c>
      <c r="D1303" s="1013"/>
      <c r="E1303" s="1013"/>
      <c r="F1303" s="1013"/>
      <c r="G1303" s="437" t="s">
        <v>61</v>
      </c>
      <c r="H1303" s="584"/>
      <c r="I1303" s="609"/>
      <c r="J1303" s="609"/>
      <c r="K1303" s="583"/>
      <c r="L1303" s="583"/>
      <c r="M1303" s="610"/>
      <c r="N1303" s="589">
        <v>55.86</v>
      </c>
      <c r="O1303" s="589"/>
    </row>
    <row r="1304" spans="1:15" ht="23.25" customHeight="1">
      <c r="A1304" s="373" t="s">
        <v>11</v>
      </c>
      <c r="B1304" s="374" t="s">
        <v>13</v>
      </c>
      <c r="C1304" s="1048" t="s">
        <v>1443</v>
      </c>
      <c r="D1304" s="1048"/>
      <c r="E1304" s="1048"/>
      <c r="F1304" s="1048"/>
      <c r="G1304" s="374" t="s">
        <v>15</v>
      </c>
      <c r="H1304" s="375" t="s">
        <v>1444</v>
      </c>
      <c r="I1304" s="106" t="s">
        <v>1445</v>
      </c>
      <c r="J1304" s="106" t="s">
        <v>1446</v>
      </c>
      <c r="K1304" s="375" t="s">
        <v>1447</v>
      </c>
      <c r="L1304" s="375" t="s">
        <v>1448</v>
      </c>
      <c r="M1304" s="374" t="s">
        <v>1457</v>
      </c>
      <c r="N1304" s="375" t="s">
        <v>1450</v>
      </c>
      <c r="O1304" s="375" t="s">
        <v>1451</v>
      </c>
    </row>
    <row r="1305" spans="1:15" ht="15" customHeight="1">
      <c r="A1305" s="404"/>
      <c r="B1305" s="451" t="str">
        <f>ORÇAMENTO!C150</f>
        <v>9.03</v>
      </c>
      <c r="C1305" s="1096" t="str">
        <f>ORÇAMENTO!D150</f>
        <v xml:space="preserve">ESQUADRIAS DE FERRO </v>
      </c>
      <c r="D1305" s="1096"/>
      <c r="E1305" s="1096"/>
      <c r="F1305" s="1096"/>
      <c r="G1305" s="451"/>
      <c r="H1305" s="405"/>
      <c r="I1305" s="133"/>
      <c r="J1305" s="133"/>
      <c r="K1305" s="133"/>
      <c r="L1305" s="133"/>
      <c r="M1305" s="332"/>
      <c r="N1305" s="133"/>
      <c r="O1305" s="133"/>
    </row>
    <row r="1306" spans="1:15" ht="55.5" customHeight="1">
      <c r="A1306" s="377" t="str">
        <f>ORÇAMENTO!A151</f>
        <v>COMP - 00/07</v>
      </c>
      <c r="B1306" s="377" t="str">
        <f>ORÇAMENTO!C151</f>
        <v>9.03.01</v>
      </c>
      <c r="C1306" s="1090" t="str">
        <f>ORÇAMENTO!D151</f>
        <v>PORTA DE ABRIR EM FERRO PARA CELA, C/BARRAS RED. VERTICAIS EM AÇO 1", BARRAS CHATAS HORIZONTAIS 2 1/2" X 1/4", REVESTIDA EM CHAPA AÇO 3MM, VISOR EM CHAPA ACRILICA ANTIVANDALISMO(15X51CM) E UMA TRANCA P/ PENITENCIÁRIA</v>
      </c>
      <c r="D1306" s="1090"/>
      <c r="E1306" s="1090"/>
      <c r="F1306" s="1090"/>
      <c r="G1306" s="425" t="str">
        <f>ORÇAMENTO!E151</f>
        <v>M²</v>
      </c>
      <c r="H1306" s="383"/>
      <c r="I1306" s="380"/>
      <c r="J1306" s="380"/>
      <c r="K1306" s="115"/>
      <c r="L1306" s="115"/>
      <c r="M1306" s="115"/>
      <c r="N1306" s="116">
        <f>SUM(N1307:N1307)</f>
        <v>1.6800000000000002</v>
      </c>
      <c r="O1306" s="116"/>
    </row>
    <row r="1307" spans="1:15" ht="14.25" customHeight="1">
      <c r="A1307" s="376"/>
      <c r="B1307" s="440"/>
      <c r="C1307" s="1024" t="s">
        <v>1958</v>
      </c>
      <c r="D1307" s="1024"/>
      <c r="E1307" s="1024"/>
      <c r="F1307" s="1024"/>
      <c r="G1307" s="437" t="s">
        <v>61</v>
      </c>
      <c r="H1307" s="452"/>
      <c r="I1307" s="452"/>
      <c r="J1307" s="453">
        <v>0.8</v>
      </c>
      <c r="K1307" s="453">
        <v>2.1</v>
      </c>
      <c r="L1307" s="134"/>
      <c r="M1307" s="333"/>
      <c r="N1307" s="124">
        <f>J1307*K1307</f>
        <v>1.6800000000000002</v>
      </c>
      <c r="O1307" s="132"/>
    </row>
    <row r="1308" spans="1:15" ht="27" customHeight="1">
      <c r="A1308" s="377">
        <f>ORÇAMENTO!A152</f>
        <v>100701</v>
      </c>
      <c r="B1308" s="377" t="str">
        <f>ORÇAMENTO!C152</f>
        <v>9.03.02</v>
      </c>
      <c r="C1308" s="1090" t="str">
        <f>ORÇAMENTO!D152</f>
        <v>PORTA DE FERRO, DE ABRIR, TIPO GRADE COM CHAPA, COM GUARNIÇÕES. AF_12/ 2019</v>
      </c>
      <c r="D1308" s="1090"/>
      <c r="E1308" s="1090"/>
      <c r="F1308" s="1090"/>
      <c r="G1308" s="425" t="str">
        <f>ORÇAMENTO!E152</f>
        <v>M²</v>
      </c>
      <c r="H1308" s="383"/>
      <c r="I1308" s="380"/>
      <c r="J1308" s="380"/>
      <c r="K1308" s="115"/>
      <c r="L1308" s="115"/>
      <c r="M1308" s="115"/>
      <c r="N1308" s="116">
        <f>SUM(N1309:N1310)</f>
        <v>8.4000000000000021</v>
      </c>
      <c r="O1308" s="116"/>
    </row>
    <row r="1309" spans="1:15" ht="12.75" customHeight="1">
      <c r="A1309" s="376"/>
      <c r="B1309" s="440"/>
      <c r="C1309" s="1027" t="s">
        <v>1862</v>
      </c>
      <c r="D1309" s="1027"/>
      <c r="E1309" s="1027"/>
      <c r="F1309" s="1027"/>
      <c r="G1309" s="437" t="s">
        <v>61</v>
      </c>
      <c r="H1309" s="452">
        <v>3</v>
      </c>
      <c r="I1309" s="452">
        <v>0.8</v>
      </c>
      <c r="J1309" s="453"/>
      <c r="K1309" s="453">
        <v>2.1</v>
      </c>
      <c r="L1309" s="134"/>
      <c r="M1309" s="333"/>
      <c r="N1309" s="124">
        <f>I1309*K1309*H1309</f>
        <v>5.0400000000000009</v>
      </c>
      <c r="O1309" s="132"/>
    </row>
    <row r="1310" spans="1:15" ht="12.75" customHeight="1">
      <c r="A1310" s="376"/>
      <c r="B1310" s="440"/>
      <c r="C1310" s="1009" t="s">
        <v>1959</v>
      </c>
      <c r="D1310" s="1009"/>
      <c r="E1310" s="1009"/>
      <c r="F1310" s="1009"/>
      <c r="G1310" s="437" t="s">
        <v>61</v>
      </c>
      <c r="H1310" s="452"/>
      <c r="I1310" s="452">
        <v>1.6</v>
      </c>
      <c r="J1310" s="453"/>
      <c r="K1310" s="665">
        <v>2.1</v>
      </c>
      <c r="L1310" s="134"/>
      <c r="M1310" s="333"/>
      <c r="N1310" s="124">
        <f>I1310*K1310</f>
        <v>3.3600000000000003</v>
      </c>
      <c r="O1310" s="132"/>
    </row>
    <row r="1311" spans="1:15" ht="38.25" customHeight="1">
      <c r="A1311" s="377" t="str">
        <f>ORÇAMENTO!A153</f>
        <v>COMP - 00/08</v>
      </c>
      <c r="B1311" s="377" t="str">
        <f>ORÇAMENTO!C153</f>
        <v>9.03.03</v>
      </c>
      <c r="C1311" s="1003" t="str">
        <f>ORÇAMENTO!D153</f>
        <v>PORTÃO EM GRADIL BELGO NYLOFORD 3D, DE ABRIR, SOLDADO EM QUADRO DE TUBO GALV. 2" COM CANTONEIRA 3/4", MONTANTES EM TUBO GALVANIZADO 4", INCLUSIVE FERROLHO E DOBRADIÇAS</v>
      </c>
      <c r="D1311" s="1003"/>
      <c r="E1311" s="1003"/>
      <c r="F1311" s="1003"/>
      <c r="G1311" s="425" t="str">
        <f>ORÇAMENTO!E153</f>
        <v>M²</v>
      </c>
      <c r="H1311" s="383"/>
      <c r="I1311" s="380"/>
      <c r="J1311" s="380"/>
      <c r="K1311" s="115"/>
      <c r="L1311" s="115"/>
      <c r="M1311" s="115"/>
      <c r="N1311" s="116">
        <f>SUM(N1312:N1313)</f>
        <v>8.52</v>
      </c>
      <c r="O1311" s="116"/>
    </row>
    <row r="1312" spans="1:15" ht="14.25" customHeight="1">
      <c r="A1312" s="342"/>
      <c r="B1312" s="342"/>
      <c r="C1312" s="1027" t="s">
        <v>1960</v>
      </c>
      <c r="D1312" s="1027"/>
      <c r="E1312" s="1027"/>
      <c r="F1312" s="1027"/>
      <c r="G1312" s="343" t="s">
        <v>61</v>
      </c>
      <c r="H1312" s="385"/>
      <c r="I1312" s="400">
        <v>1</v>
      </c>
      <c r="J1312" s="400"/>
      <c r="K1312" s="123">
        <v>2.13</v>
      </c>
      <c r="L1312" s="123"/>
      <c r="M1312" s="123"/>
      <c r="N1312" s="124">
        <f>I1312*K1312</f>
        <v>2.13</v>
      </c>
      <c r="O1312" s="124"/>
    </row>
    <row r="1313" spans="1:15" ht="14.25" customHeight="1">
      <c r="A1313" s="342"/>
      <c r="B1313" s="342"/>
      <c r="C1313" s="1027" t="s">
        <v>1961</v>
      </c>
      <c r="D1313" s="1027"/>
      <c r="E1313" s="1027"/>
      <c r="F1313" s="1027"/>
      <c r="G1313" s="343" t="s">
        <v>61</v>
      </c>
      <c r="H1313" s="385"/>
      <c r="I1313" s="400">
        <v>3</v>
      </c>
      <c r="J1313" s="400"/>
      <c r="K1313" s="123">
        <f>K1312</f>
        <v>2.13</v>
      </c>
      <c r="L1313" s="123"/>
      <c r="M1313" s="123"/>
      <c r="N1313" s="124">
        <f>I1313*K1313</f>
        <v>6.39</v>
      </c>
      <c r="O1313" s="124"/>
    </row>
    <row r="1314" spans="1:15" ht="43.5" customHeight="1">
      <c r="A1314" s="377" t="str">
        <f>ORÇAMENTO!A154</f>
        <v>COMP - 00/09</v>
      </c>
      <c r="B1314" s="377" t="str">
        <f>ORÇAMENTO!C154</f>
        <v>9.03.04</v>
      </c>
      <c r="C1314" s="1003" t="str">
        <f>ORÇAMENTO!D154</f>
        <v>JANELA EM FERRO COM BARRAS VERTICAIS DE 1" COM 10CM DE ESPAÇAMENTO, APARELHADA NA COR PRETA.</v>
      </c>
      <c r="D1314" s="1003"/>
      <c r="E1314" s="1003"/>
      <c r="F1314" s="1003"/>
      <c r="G1314" s="425" t="str">
        <f>ORÇAMENTO!E154</f>
        <v>M²</v>
      </c>
      <c r="H1314" s="383"/>
      <c r="I1314" s="380"/>
      <c r="J1314" s="380"/>
      <c r="K1314" s="115"/>
      <c r="L1314" s="115"/>
      <c r="M1314" s="115"/>
      <c r="N1314" s="116">
        <f>SUM(N1315:N1316)</f>
        <v>1.3399999999999999</v>
      </c>
      <c r="O1314" s="116"/>
    </row>
    <row r="1315" spans="1:15" ht="12.75" customHeight="1">
      <c r="A1315" s="342"/>
      <c r="B1315" s="342"/>
      <c r="C1315" s="1027" t="s">
        <v>1962</v>
      </c>
      <c r="D1315" s="1027"/>
      <c r="E1315" s="1027"/>
      <c r="F1315" s="1027"/>
      <c r="G1315" s="343" t="s">
        <v>61</v>
      </c>
      <c r="H1315" s="385"/>
      <c r="I1315" s="400">
        <v>0.94</v>
      </c>
      <c r="J1315" s="400"/>
      <c r="K1315" s="123">
        <v>1</v>
      </c>
      <c r="L1315" s="123"/>
      <c r="M1315" s="123"/>
      <c r="N1315" s="124">
        <f t="shared" ref="N1315:N1316" si="50">I1315*K1315</f>
        <v>0.94</v>
      </c>
      <c r="O1315" s="124"/>
    </row>
    <row r="1316" spans="1:15" ht="12.75" customHeight="1">
      <c r="A1316" s="342"/>
      <c r="B1316" s="342"/>
      <c r="C1316" s="1009" t="s">
        <v>1962</v>
      </c>
      <c r="D1316" s="1009"/>
      <c r="E1316" s="1009"/>
      <c r="F1316" s="1009"/>
      <c r="G1316" s="343" t="s">
        <v>61</v>
      </c>
      <c r="H1316" s="385"/>
      <c r="I1316" s="400">
        <v>1</v>
      </c>
      <c r="J1316" s="400"/>
      <c r="K1316" s="123">
        <v>0.4</v>
      </c>
      <c r="L1316" s="123"/>
      <c r="M1316" s="123"/>
      <c r="N1316" s="124">
        <f t="shared" si="50"/>
        <v>0.4</v>
      </c>
      <c r="O1316" s="124"/>
    </row>
    <row r="1317" spans="1:15" ht="37.5" customHeight="1">
      <c r="A1317" s="377">
        <f>ORÇAMENTO!A155</f>
        <v>9035</v>
      </c>
      <c r="B1317" s="377" t="str">
        <f>ORÇAMENTO!C155</f>
        <v>9.03.05</v>
      </c>
      <c r="C1317" s="1047" t="str">
        <f>ORÇAMENTO!D155</f>
        <v>GRADIL NYLOFOR 3D, MALHA 20X5CM, Ø 5MM 250X103 CM, PINTURA BRANCA, BELGO OU SIMILAR, INCLUSIVE POSTES E ACESSÓRIOS</v>
      </c>
      <c r="D1317" s="1047"/>
      <c r="E1317" s="1047"/>
      <c r="F1317" s="1047"/>
      <c r="G1317" s="425" t="str">
        <f>ORÇAMENTO!E155</f>
        <v>M²</v>
      </c>
      <c r="H1317" s="383"/>
      <c r="I1317" s="380"/>
      <c r="J1317" s="380"/>
      <c r="K1317" s="455"/>
      <c r="L1317" s="455"/>
      <c r="M1317" s="455"/>
      <c r="N1317" s="456">
        <f>SUM(N1318:N1320)</f>
        <v>207.92470800000001</v>
      </c>
      <c r="O1317" s="456"/>
    </row>
    <row r="1318" spans="1:15" ht="15" customHeight="1">
      <c r="A1318" s="464"/>
      <c r="B1318" s="464"/>
      <c r="C1318" s="1013" t="s">
        <v>1963</v>
      </c>
      <c r="D1318" s="1013"/>
      <c r="E1318" s="1013"/>
      <c r="F1318" s="1013"/>
      <c r="G1318" s="461" t="s">
        <v>61</v>
      </c>
      <c r="H1318" s="431">
        <v>8.1</v>
      </c>
      <c r="I1318" s="609"/>
      <c r="J1318" s="609"/>
      <c r="K1318" s="310">
        <v>1.53</v>
      </c>
      <c r="L1318" s="303">
        <v>33.452300000000001</v>
      </c>
      <c r="M1318" s="610">
        <f>2*(3*2.13)+(1*2.13)</f>
        <v>14.91</v>
      </c>
      <c r="N1318" s="551">
        <f>(L1318*K1318)-M1318</f>
        <v>36.272019</v>
      </c>
      <c r="O1318" s="695"/>
    </row>
    <row r="1319" spans="1:15" ht="15" customHeight="1">
      <c r="A1319" s="464"/>
      <c r="B1319" s="464"/>
      <c r="C1319" s="1013" t="s">
        <v>1964</v>
      </c>
      <c r="D1319" s="1013"/>
      <c r="E1319" s="1013"/>
      <c r="F1319" s="1013"/>
      <c r="G1319" s="461" t="s">
        <v>61</v>
      </c>
      <c r="H1319" s="431">
        <v>8.1</v>
      </c>
      <c r="I1319" s="609"/>
      <c r="J1319" s="609"/>
      <c r="K1319" s="310">
        <v>1.53</v>
      </c>
      <c r="L1319" s="303">
        <f>57.5679</f>
        <v>57.567900000000002</v>
      </c>
      <c r="M1319" s="610"/>
      <c r="N1319" s="551">
        <f>(L1319*K1319)-M1319</f>
        <v>88.078887000000009</v>
      </c>
      <c r="O1319" s="695"/>
    </row>
    <row r="1320" spans="1:15" ht="15" customHeight="1">
      <c r="A1320" s="464"/>
      <c r="B1320" s="464"/>
      <c r="C1320" s="1013" t="s">
        <v>1965</v>
      </c>
      <c r="D1320" s="1013"/>
      <c r="E1320" s="1013"/>
      <c r="F1320" s="1013"/>
      <c r="G1320" s="461" t="s">
        <v>61</v>
      </c>
      <c r="H1320" s="431">
        <v>8.1</v>
      </c>
      <c r="I1320" s="609"/>
      <c r="J1320" s="609"/>
      <c r="K1320" s="310">
        <v>1.53</v>
      </c>
      <c r="L1320" s="303">
        <v>54.623399999999997</v>
      </c>
      <c r="M1320" s="610"/>
      <c r="N1320" s="551">
        <f>(L1320*K1320)-M1320</f>
        <v>83.573802000000001</v>
      </c>
      <c r="O1320" s="695"/>
    </row>
    <row r="1321" spans="1:15" ht="35.25" customHeight="1">
      <c r="A1321" s="377">
        <f>ORÇAMENTO!A156</f>
        <v>11955</v>
      </c>
      <c r="B1321" s="377" t="str">
        <f>ORÇAMENTO!C156</f>
        <v>9.03.06</v>
      </c>
      <c r="C1321" s="1047" t="str">
        <f>ORÇAMENTO!D156</f>
        <v>PORTÃO EM ALUMÍNIO, COR N/B/P, EM PERFÍS BÚZIO QUADRADO OU LAMBRIL, COMPLETO INCLUSIVE RODÍZIOS, PERFÍS E FECHADURA</v>
      </c>
      <c r="D1321" s="1047"/>
      <c r="E1321" s="1047"/>
      <c r="F1321" s="1047"/>
      <c r="G1321" s="377" t="str">
        <f>ORÇAMENTO!E156</f>
        <v>M²</v>
      </c>
      <c r="H1321" s="383"/>
      <c r="I1321" s="379"/>
      <c r="J1321" s="380"/>
      <c r="K1321" s="379"/>
      <c r="L1321" s="380"/>
      <c r="M1321" s="379"/>
      <c r="N1321" s="380">
        <f>N1322</f>
        <v>8.25</v>
      </c>
      <c r="O1321" s="379"/>
    </row>
    <row r="1322" spans="1:15" ht="15" customHeight="1">
      <c r="A1322" s="342"/>
      <c r="B1322" s="342"/>
      <c r="C1322" s="1000" t="s">
        <v>1966</v>
      </c>
      <c r="D1322" s="1000"/>
      <c r="E1322" s="1000"/>
      <c r="F1322" s="1000"/>
      <c r="G1322" s="343" t="s">
        <v>61</v>
      </c>
      <c r="H1322" s="584"/>
      <c r="I1322" s="582">
        <v>3.3</v>
      </c>
      <c r="J1322" s="582"/>
      <c r="K1322" s="583">
        <v>2.5</v>
      </c>
      <c r="L1322" s="583"/>
      <c r="M1322" s="583"/>
      <c r="N1322" s="592">
        <f>I1322*K1322</f>
        <v>8.25</v>
      </c>
      <c r="O1322" s="589"/>
    </row>
    <row r="1323" spans="1:15" ht="42.75" customHeight="1">
      <c r="A1323" s="377" t="str">
        <f>ORÇAMENTO!A157</f>
        <v>I-1276</v>
      </c>
      <c r="B1323" s="377" t="str">
        <f>ORÇAMENTO!C157</f>
        <v>9.03.07</v>
      </c>
      <c r="C1323" s="1047" t="str">
        <f>ORÇAMENTO!D157</f>
        <v>KIT DE AUTOMATIZAÇÃO DE PORTÃO, INCLUSO: FERRAGENS (VIGA U, ROLDANAS COM PINO, CABO DE AÇO, CHAPA E MONTANTE, ETC.) E MOTOR PPA 1/4 CV - 220V</v>
      </c>
      <c r="D1323" s="1047"/>
      <c r="E1323" s="1047"/>
      <c r="F1323" s="1047"/>
      <c r="G1323" s="377" t="str">
        <f>ORÇAMENTO!E157</f>
        <v xml:space="preserve">UN </v>
      </c>
      <c r="H1323" s="383">
        <f>SUM(H1324)</f>
        <v>1</v>
      </c>
      <c r="I1323" s="379"/>
      <c r="J1323" s="380"/>
      <c r="K1323" s="379"/>
      <c r="L1323" s="380"/>
      <c r="M1323" s="379"/>
      <c r="N1323" s="380">
        <f>N1324</f>
        <v>8.25</v>
      </c>
      <c r="O1323" s="379"/>
    </row>
    <row r="1324" spans="1:15" ht="15" customHeight="1">
      <c r="A1324" s="342"/>
      <c r="B1324" s="342"/>
      <c r="C1324" s="1000" t="s">
        <v>1966</v>
      </c>
      <c r="D1324" s="1000"/>
      <c r="E1324" s="1000"/>
      <c r="F1324" s="1000"/>
      <c r="G1324" s="343" t="s">
        <v>96</v>
      </c>
      <c r="H1324" s="584">
        <v>1</v>
      </c>
      <c r="I1324" s="582">
        <v>3.3</v>
      </c>
      <c r="J1324" s="582"/>
      <c r="K1324" s="583">
        <v>2.5</v>
      </c>
      <c r="L1324" s="583"/>
      <c r="M1324" s="583"/>
      <c r="N1324" s="592">
        <f>I1324*K1324</f>
        <v>8.25</v>
      </c>
      <c r="O1324" s="589"/>
    </row>
    <row r="1325" spans="1:15" s="311" customFormat="1" ht="32.25" customHeight="1">
      <c r="A1325" s="344" t="str">
        <f>ORÇAMENTO!A158</f>
        <v>COMP - 00/10</v>
      </c>
      <c r="B1325" s="344" t="str">
        <f>ORÇAMENTO!C158</f>
        <v>9.03.08</v>
      </c>
      <c r="C1325" s="1020" t="str">
        <f>ORÇAMENTO!D158</f>
        <v>GRADE DE FERRO PROTEÇÃO COM QUADRO EM BARRA HORIZONTAL CHATA DE 3/16" X 1" E BARRA VERTICAL QUADRADA 7/16" A CADA 12CM</v>
      </c>
      <c r="D1325" s="1020"/>
      <c r="E1325" s="1020"/>
      <c r="F1325" s="1020"/>
      <c r="G1325" s="344" t="str">
        <f>ORÇAMENTO!E158</f>
        <v>M²</v>
      </c>
      <c r="H1325" s="436"/>
      <c r="I1325" s="345"/>
      <c r="J1325" s="429"/>
      <c r="K1325" s="345"/>
      <c r="L1325" s="429"/>
      <c r="M1325" s="345"/>
      <c r="N1325" s="429">
        <f>SUM(N1326:N1334)</f>
        <v>47.143299999999996</v>
      </c>
      <c r="O1325" s="345"/>
    </row>
    <row r="1326" spans="1:15" s="311" customFormat="1" ht="12.75" customHeight="1">
      <c r="A1326" s="464"/>
      <c r="B1326" s="464"/>
      <c r="C1326" s="1013" t="s">
        <v>1967</v>
      </c>
      <c r="D1326" s="1013"/>
      <c r="E1326" s="1013"/>
      <c r="F1326" s="1013"/>
      <c r="G1326" s="437" t="s">
        <v>61</v>
      </c>
      <c r="H1326" s="612"/>
      <c r="I1326" s="609">
        <v>2.4</v>
      </c>
      <c r="J1326" s="609"/>
      <c r="K1326" s="610">
        <v>4</v>
      </c>
      <c r="L1326" s="610"/>
      <c r="M1326" s="610"/>
      <c r="N1326" s="696">
        <f>I1326*K1326</f>
        <v>9.6</v>
      </c>
      <c r="O1326" s="680"/>
    </row>
    <row r="1327" spans="1:15" s="311" customFormat="1" ht="12.75" customHeight="1">
      <c r="A1327" s="464"/>
      <c r="B1327" s="464"/>
      <c r="C1327" s="1013" t="s">
        <v>1968</v>
      </c>
      <c r="D1327" s="1013"/>
      <c r="E1327" s="1013"/>
      <c r="F1327" s="1013"/>
      <c r="G1327" s="437" t="s">
        <v>61</v>
      </c>
      <c r="H1327" s="612"/>
      <c r="I1327" s="609">
        <v>3.05</v>
      </c>
      <c r="J1327" s="609"/>
      <c r="K1327" s="610">
        <v>4</v>
      </c>
      <c r="L1327" s="610"/>
      <c r="M1327" s="610"/>
      <c r="N1327" s="696">
        <f>I1327*K1327</f>
        <v>12.2</v>
      </c>
      <c r="O1327" s="680"/>
    </row>
    <row r="1328" spans="1:15" s="311" customFormat="1" ht="12.75" customHeight="1">
      <c r="A1328" s="464"/>
      <c r="B1328" s="464"/>
      <c r="C1328" s="1013" t="s">
        <v>1969</v>
      </c>
      <c r="D1328" s="1013"/>
      <c r="E1328" s="1013"/>
      <c r="F1328" s="1013"/>
      <c r="G1328" s="437" t="s">
        <v>61</v>
      </c>
      <c r="H1328" s="612"/>
      <c r="I1328" s="609"/>
      <c r="J1328" s="609"/>
      <c r="K1328" s="610"/>
      <c r="L1328" s="610"/>
      <c r="M1328" s="610"/>
      <c r="N1328" s="696">
        <v>5.4432999999999998</v>
      </c>
      <c r="O1328" s="680"/>
    </row>
    <row r="1329" spans="1:15" s="311" customFormat="1" ht="12.75" customHeight="1">
      <c r="A1329" s="464"/>
      <c r="B1329" s="464"/>
      <c r="C1329" s="1013" t="s">
        <v>1970</v>
      </c>
      <c r="D1329" s="1013"/>
      <c r="E1329" s="1013"/>
      <c r="F1329" s="1013"/>
      <c r="G1329" s="437" t="s">
        <v>61</v>
      </c>
      <c r="H1329" s="612"/>
      <c r="I1329" s="609">
        <v>3.75</v>
      </c>
      <c r="J1329" s="609"/>
      <c r="K1329" s="609">
        <v>2.8</v>
      </c>
      <c r="L1329" s="610"/>
      <c r="M1329" s="610"/>
      <c r="N1329" s="696">
        <f t="shared" ref="N1329:N1334" si="51">I1329*K1329</f>
        <v>10.5</v>
      </c>
      <c r="O1329" s="680"/>
    </row>
    <row r="1330" spans="1:15" s="311" customFormat="1" ht="12.75" customHeight="1">
      <c r="A1330" s="464"/>
      <c r="B1330" s="464"/>
      <c r="C1330" s="1013" t="s">
        <v>1971</v>
      </c>
      <c r="D1330" s="1013"/>
      <c r="E1330" s="1013"/>
      <c r="F1330" s="1013"/>
      <c r="G1330" s="437" t="s">
        <v>61</v>
      </c>
      <c r="H1330" s="612"/>
      <c r="I1330" s="609">
        <v>2</v>
      </c>
      <c r="J1330" s="609"/>
      <c r="K1330" s="610">
        <v>2.8</v>
      </c>
      <c r="L1330" s="610"/>
      <c r="M1330" s="610"/>
      <c r="N1330" s="696">
        <f t="shared" si="51"/>
        <v>5.6</v>
      </c>
      <c r="O1330" s="680"/>
    </row>
    <row r="1331" spans="1:15" s="311" customFormat="1" ht="12.75" customHeight="1">
      <c r="A1331" s="464"/>
      <c r="B1331" s="464"/>
      <c r="C1331" s="1013" t="s">
        <v>1972</v>
      </c>
      <c r="D1331" s="1013"/>
      <c r="E1331" s="1013"/>
      <c r="F1331" s="1013"/>
      <c r="G1331" s="437" t="s">
        <v>61</v>
      </c>
      <c r="H1331" s="612"/>
      <c r="I1331" s="609">
        <v>1</v>
      </c>
      <c r="J1331" s="609"/>
      <c r="K1331" s="610">
        <v>0.5</v>
      </c>
      <c r="L1331" s="610"/>
      <c r="M1331" s="610"/>
      <c r="N1331" s="696">
        <f t="shared" si="51"/>
        <v>0.5</v>
      </c>
      <c r="O1331" s="680"/>
    </row>
    <row r="1332" spans="1:15" s="311" customFormat="1" ht="12.75" customHeight="1">
      <c r="A1332" s="464"/>
      <c r="B1332" s="464"/>
      <c r="C1332" s="1013" t="s">
        <v>1973</v>
      </c>
      <c r="D1332" s="1013"/>
      <c r="E1332" s="1013"/>
      <c r="F1332" s="1013"/>
      <c r="G1332" s="437" t="s">
        <v>61</v>
      </c>
      <c r="H1332" s="612"/>
      <c r="I1332" s="609">
        <v>2.6</v>
      </c>
      <c r="J1332" s="609"/>
      <c r="K1332" s="610">
        <v>0.5</v>
      </c>
      <c r="L1332" s="610"/>
      <c r="M1332" s="610"/>
      <c r="N1332" s="696">
        <f t="shared" si="51"/>
        <v>1.3</v>
      </c>
      <c r="O1332" s="680"/>
    </row>
    <row r="1333" spans="1:15" s="311" customFormat="1" ht="12.75" customHeight="1">
      <c r="A1333" s="464"/>
      <c r="B1333" s="464"/>
      <c r="C1333" s="1013" t="s">
        <v>1974</v>
      </c>
      <c r="D1333" s="1013"/>
      <c r="E1333" s="1013"/>
      <c r="F1333" s="1013"/>
      <c r="G1333" s="437" t="s">
        <v>61</v>
      </c>
      <c r="H1333" s="612"/>
      <c r="I1333" s="609">
        <v>2</v>
      </c>
      <c r="J1333" s="609"/>
      <c r="K1333" s="610">
        <v>0.5</v>
      </c>
      <c r="L1333" s="610"/>
      <c r="M1333" s="610"/>
      <c r="N1333" s="696">
        <f t="shared" si="51"/>
        <v>1</v>
      </c>
      <c r="O1333" s="680"/>
    </row>
    <row r="1334" spans="1:15" s="311" customFormat="1" ht="15" customHeight="1">
      <c r="A1334" s="464"/>
      <c r="B1334" s="464"/>
      <c r="C1334" s="1013" t="s">
        <v>1975</v>
      </c>
      <c r="D1334" s="1013"/>
      <c r="E1334" s="1013"/>
      <c r="F1334" s="1013"/>
      <c r="G1334" s="437" t="s">
        <v>61</v>
      </c>
      <c r="H1334" s="612"/>
      <c r="I1334" s="609">
        <v>2</v>
      </c>
      <c r="J1334" s="609"/>
      <c r="K1334" s="610">
        <v>0.5</v>
      </c>
      <c r="L1334" s="610"/>
      <c r="M1334" s="610"/>
      <c r="N1334" s="696">
        <f t="shared" si="51"/>
        <v>1</v>
      </c>
      <c r="O1334" s="680"/>
    </row>
    <row r="1335" spans="1:15" s="311" customFormat="1" ht="52.5" customHeight="1">
      <c r="A1335" s="344">
        <f>ORÇAMENTO!A159</f>
        <v>100758</v>
      </c>
      <c r="B1335" s="344" t="str">
        <f>ORÇAMENTO!C159</f>
        <v>9.03.09</v>
      </c>
      <c r="C1335" s="1020" t="str">
        <f>ORÇAMENTO!D159</f>
        <v>PINTURA COM TINTA ALQUÍDICA DE ACABAMENTO (ESMALTE SINTÉTICO ACETINADO) APLICADA A ROLO OU PINCEL SOBRE SUPERFÍCIES METÁLICAS (EXCETO PERFIL) EXECUTADO EM OBRA (02 DEMÃOS). AF_01/2020</v>
      </c>
      <c r="D1335" s="1020"/>
      <c r="E1335" s="1020"/>
      <c r="F1335" s="1020"/>
      <c r="G1335" s="344" t="str">
        <f>ORÇAMENTO!E159</f>
        <v>M²</v>
      </c>
      <c r="H1335" s="436"/>
      <c r="I1335" s="345"/>
      <c r="J1335" s="429"/>
      <c r="K1335" s="345"/>
      <c r="L1335" s="429"/>
      <c r="M1335" s="345"/>
      <c r="N1335" s="429">
        <f>SUM(N1336:N1340)</f>
        <v>216.32470800000002</v>
      </c>
      <c r="O1335" s="345"/>
    </row>
    <row r="1336" spans="1:15" s="311" customFormat="1" ht="15" customHeight="1">
      <c r="A1336" s="641"/>
      <c r="B1336" s="666"/>
      <c r="C1336" s="1009" t="s">
        <v>1862</v>
      </c>
      <c r="D1336" s="1009"/>
      <c r="E1336" s="1009"/>
      <c r="F1336" s="1009"/>
      <c r="G1336" s="437" t="s">
        <v>61</v>
      </c>
      <c r="H1336" s="667">
        <v>3</v>
      </c>
      <c r="I1336" s="667">
        <v>0.8</v>
      </c>
      <c r="J1336" s="665"/>
      <c r="K1336" s="665">
        <v>2.1</v>
      </c>
      <c r="L1336" s="668"/>
      <c r="M1336" s="669"/>
      <c r="N1336" s="312">
        <f>I1336*K1336*H1336</f>
        <v>5.0400000000000009</v>
      </c>
      <c r="O1336" s="670"/>
    </row>
    <row r="1337" spans="1:15" s="311" customFormat="1" ht="15" customHeight="1">
      <c r="A1337" s="641"/>
      <c r="B1337" s="666"/>
      <c r="C1337" s="1009" t="s">
        <v>1959</v>
      </c>
      <c r="D1337" s="1009"/>
      <c r="E1337" s="1009"/>
      <c r="F1337" s="1009"/>
      <c r="G1337" s="437" t="s">
        <v>61</v>
      </c>
      <c r="H1337" s="667"/>
      <c r="I1337" s="667">
        <v>1.6</v>
      </c>
      <c r="J1337" s="665"/>
      <c r="K1337" s="665">
        <v>2.1</v>
      </c>
      <c r="L1337" s="668"/>
      <c r="M1337" s="849"/>
      <c r="N1337" s="312">
        <f>I1337*K1337</f>
        <v>3.3600000000000003</v>
      </c>
      <c r="O1337" s="670"/>
    </row>
    <row r="1338" spans="1:15" s="311" customFormat="1" ht="15" customHeight="1">
      <c r="A1338" s="641"/>
      <c r="B1338" s="666"/>
      <c r="C1338" s="1013" t="s">
        <v>1963</v>
      </c>
      <c r="D1338" s="1013"/>
      <c r="E1338" s="1013"/>
      <c r="F1338" s="1013"/>
      <c r="G1338" s="461" t="s">
        <v>61</v>
      </c>
      <c r="H1338" s="431">
        <v>8.1</v>
      </c>
      <c r="I1338" s="609"/>
      <c r="J1338" s="609"/>
      <c r="K1338" s="310">
        <v>1.53</v>
      </c>
      <c r="L1338" s="303">
        <v>33.452300000000001</v>
      </c>
      <c r="M1338" s="610">
        <f>2*(3*2.13)+(1*2.13)</f>
        <v>14.91</v>
      </c>
      <c r="N1338" s="551">
        <f>(L1338*K1338)-M1338</f>
        <v>36.272019</v>
      </c>
      <c r="O1338" s="670"/>
    </row>
    <row r="1339" spans="1:15" s="311" customFormat="1" ht="15" customHeight="1">
      <c r="A1339" s="641"/>
      <c r="B1339" s="666"/>
      <c r="C1339" s="1013" t="s">
        <v>1964</v>
      </c>
      <c r="D1339" s="1013"/>
      <c r="E1339" s="1013"/>
      <c r="F1339" s="1013"/>
      <c r="G1339" s="461" t="s">
        <v>61</v>
      </c>
      <c r="H1339" s="431">
        <v>8.1</v>
      </c>
      <c r="I1339" s="609"/>
      <c r="J1339" s="609"/>
      <c r="K1339" s="310">
        <v>1.53</v>
      </c>
      <c r="L1339" s="303">
        <f>57.5679</f>
        <v>57.567900000000002</v>
      </c>
      <c r="M1339" s="610"/>
      <c r="N1339" s="551">
        <f>(L1339*K1339)-M1339</f>
        <v>88.078887000000009</v>
      </c>
      <c r="O1339" s="670"/>
    </row>
    <row r="1340" spans="1:15" s="311" customFormat="1" ht="15" customHeight="1">
      <c r="A1340" s="641"/>
      <c r="B1340" s="666"/>
      <c r="C1340" s="1013" t="s">
        <v>1965</v>
      </c>
      <c r="D1340" s="1013"/>
      <c r="E1340" s="1013"/>
      <c r="F1340" s="1013"/>
      <c r="G1340" s="461" t="s">
        <v>61</v>
      </c>
      <c r="H1340" s="431">
        <v>8.1</v>
      </c>
      <c r="I1340" s="609"/>
      <c r="J1340" s="609"/>
      <c r="K1340" s="310">
        <v>1.53</v>
      </c>
      <c r="L1340" s="303">
        <v>54.623399999999997</v>
      </c>
      <c r="M1340" s="610"/>
      <c r="N1340" s="551">
        <f>(L1340*K1340)-M1340</f>
        <v>83.573802000000001</v>
      </c>
      <c r="O1340" s="670"/>
    </row>
    <row r="1341" spans="1:15" ht="12.75" customHeight="1">
      <c r="A1341" s="373" t="s">
        <v>11</v>
      </c>
      <c r="B1341" s="374" t="s">
        <v>13</v>
      </c>
      <c r="C1341" s="1046" t="s">
        <v>1443</v>
      </c>
      <c r="D1341" s="1046"/>
      <c r="E1341" s="1046"/>
      <c r="F1341" s="1046"/>
      <c r="G1341" s="375" t="s">
        <v>15</v>
      </c>
      <c r="H1341" s="375" t="s">
        <v>1444</v>
      </c>
      <c r="I1341" s="375" t="s">
        <v>1445</v>
      </c>
      <c r="J1341" s="375" t="s">
        <v>1446</v>
      </c>
      <c r="K1341" s="375" t="s">
        <v>1447</v>
      </c>
      <c r="L1341" s="375" t="s">
        <v>1448</v>
      </c>
      <c r="M1341" s="375" t="s">
        <v>1457</v>
      </c>
      <c r="N1341" s="375" t="s">
        <v>1450</v>
      </c>
      <c r="O1341" s="375" t="s">
        <v>1451</v>
      </c>
    </row>
    <row r="1342" spans="1:15">
      <c r="A1342" s="376"/>
      <c r="B1342" s="376" t="str">
        <f>ORÇAMENTO!C160</f>
        <v>10.00</v>
      </c>
      <c r="C1342" s="1084" t="str">
        <f>ORÇAMENTO!D160</f>
        <v>REVESTIMENTOS - PAREDES E TETOS</v>
      </c>
      <c r="D1342" s="1084"/>
      <c r="E1342" s="1084"/>
      <c r="F1342" s="1084"/>
      <c r="G1342" s="1039"/>
      <c r="H1342" s="1039"/>
      <c r="I1342" s="1039"/>
      <c r="J1342" s="1039"/>
      <c r="K1342" s="1039"/>
      <c r="L1342" s="1039"/>
      <c r="M1342" s="1039"/>
      <c r="N1342" s="1039"/>
      <c r="O1342" s="1039"/>
    </row>
    <row r="1343" spans="1:15">
      <c r="A1343" s="376"/>
      <c r="B1343" s="376" t="str">
        <f>ORÇAMENTO!C161</f>
        <v>10.01</v>
      </c>
      <c r="C1343" s="1084" t="str">
        <f>ORÇAMENTO!D161</f>
        <v>DE ARGAMASSAS</v>
      </c>
      <c r="D1343" s="1084"/>
      <c r="E1343" s="1084"/>
      <c r="F1343" s="1084"/>
      <c r="G1343" s="1039"/>
      <c r="H1343" s="1039"/>
      <c r="I1343" s="1039"/>
      <c r="J1343" s="1039"/>
      <c r="K1343" s="1039"/>
      <c r="L1343" s="1039"/>
      <c r="M1343" s="1039"/>
      <c r="N1343" s="1039"/>
      <c r="O1343" s="1039"/>
    </row>
    <row r="1344" spans="1:15" ht="39.75" customHeight="1">
      <c r="A1344" s="377">
        <f>ORÇAMENTO!A162</f>
        <v>87878</v>
      </c>
      <c r="B1344" s="377" t="str">
        <f>ORÇAMENTO!C162</f>
        <v>10.01.01</v>
      </c>
      <c r="C1344" s="1003" t="str">
        <f>ORÇAMENTO!D162</f>
        <v>CHAPISCO APLICADO EM ALVENARIAS E ESTRUTURAS DE CONCRETO INTERNAS, COM COLHER DE PEDREIRO. ARGAMASSA TRAÇO 1:3 COM PREPARO MANUAL. AF_10/2022</v>
      </c>
      <c r="D1344" s="1003"/>
      <c r="E1344" s="1003"/>
      <c r="F1344" s="1003"/>
      <c r="G1344" s="425" t="str">
        <f>ORÇAMENTO!E162</f>
        <v>M²</v>
      </c>
      <c r="H1344" s="383"/>
      <c r="I1344" s="380"/>
      <c r="J1344" s="380"/>
      <c r="K1344" s="455"/>
      <c r="L1344" s="455"/>
      <c r="M1344" s="455"/>
      <c r="N1344" s="456">
        <f>SUM(N1346:N1395)</f>
        <v>3618.9312050000008</v>
      </c>
      <c r="O1344" s="456"/>
    </row>
    <row r="1345" spans="1:15">
      <c r="A1345" s="337"/>
      <c r="B1345" s="337"/>
      <c r="C1345" s="1005" t="s">
        <v>1976</v>
      </c>
      <c r="D1345" s="1005"/>
      <c r="E1345" s="1005"/>
      <c r="F1345" s="1005"/>
      <c r="G1345" s="338"/>
      <c r="H1345" s="443"/>
      <c r="I1345" s="340"/>
      <c r="J1345" s="340"/>
      <c r="K1345" s="340"/>
      <c r="L1345" s="382"/>
      <c r="M1345" s="382"/>
      <c r="N1345" s="457"/>
      <c r="O1345" s="458"/>
    </row>
    <row r="1346" spans="1:15" s="127" customFormat="1" ht="14.25" customHeight="1">
      <c r="A1346" s="337"/>
      <c r="B1346" s="337"/>
      <c r="C1346" s="1001" t="s">
        <v>1836</v>
      </c>
      <c r="D1346" s="1001"/>
      <c r="E1346" s="1001"/>
      <c r="F1346" s="1001"/>
      <c r="G1346" s="343" t="s">
        <v>61</v>
      </c>
      <c r="H1346" s="443"/>
      <c r="I1346" s="340"/>
      <c r="J1346" s="340"/>
      <c r="K1346" s="340">
        <v>3.15</v>
      </c>
      <c r="L1346" s="382">
        <v>16.600000000000001</v>
      </c>
      <c r="M1346" s="382">
        <f>(0.8*2.1)+(1.46*1.5)+(1.8*1.5)</f>
        <v>6.57</v>
      </c>
      <c r="N1346" s="457">
        <f>(L1346*K1346)-M1346</f>
        <v>45.720000000000006</v>
      </c>
      <c r="O1346" s="458"/>
    </row>
    <row r="1347" spans="1:15" s="127" customFormat="1">
      <c r="A1347" s="337"/>
      <c r="B1347" s="337"/>
      <c r="C1347" s="1001" t="s">
        <v>1837</v>
      </c>
      <c r="D1347" s="1001"/>
      <c r="E1347" s="1001"/>
      <c r="F1347" s="1001"/>
      <c r="G1347" s="343" t="s">
        <v>61</v>
      </c>
      <c r="H1347" s="443"/>
      <c r="I1347" s="340"/>
      <c r="J1347" s="340"/>
      <c r="K1347" s="340">
        <v>3.15</v>
      </c>
      <c r="L1347" s="382">
        <v>15.3</v>
      </c>
      <c r="M1347" s="382">
        <f>(1.46*1.5)+(0.8*2.13)</f>
        <v>3.8940000000000001</v>
      </c>
      <c r="N1347" s="457">
        <f t="shared" ref="N1347:N1390" si="52">(L1347*K1347)-M1347</f>
        <v>44.301000000000002</v>
      </c>
      <c r="O1347" s="458"/>
    </row>
    <row r="1348" spans="1:15" s="127" customFormat="1">
      <c r="A1348" s="337"/>
      <c r="B1348" s="337"/>
      <c r="C1348" s="1001" t="s">
        <v>1977</v>
      </c>
      <c r="D1348" s="1001"/>
      <c r="E1348" s="1001"/>
      <c r="F1348" s="1001"/>
      <c r="G1348" s="343" t="s">
        <v>61</v>
      </c>
      <c r="H1348" s="443"/>
      <c r="I1348" s="340"/>
      <c r="J1348" s="340"/>
      <c r="K1348" s="340">
        <v>3.15</v>
      </c>
      <c r="L1348" s="382">
        <v>17</v>
      </c>
      <c r="M1348" s="382">
        <f>(1.46*1.5)+(0.8*2.1)+(0.7*2.1)</f>
        <v>5.34</v>
      </c>
      <c r="N1348" s="457">
        <f t="shared" si="52"/>
        <v>48.209999999999994</v>
      </c>
      <c r="O1348" s="458"/>
    </row>
    <row r="1349" spans="1:15" s="127" customFormat="1">
      <c r="A1349" s="337"/>
      <c r="B1349" s="337"/>
      <c r="C1349" s="1001" t="s">
        <v>1978</v>
      </c>
      <c r="D1349" s="1001"/>
      <c r="E1349" s="1001"/>
      <c r="F1349" s="1001"/>
      <c r="G1349" s="343" t="s">
        <v>61</v>
      </c>
      <c r="H1349" s="443"/>
      <c r="I1349" s="340"/>
      <c r="J1349" s="340"/>
      <c r="K1349" s="340">
        <v>3.15</v>
      </c>
      <c r="L1349" s="382">
        <v>5.8</v>
      </c>
      <c r="M1349" s="382">
        <f>(0.7*2.1)+(1*0.5)</f>
        <v>1.97</v>
      </c>
      <c r="N1349" s="457">
        <f t="shared" si="52"/>
        <v>16.3</v>
      </c>
      <c r="O1349" s="458"/>
    </row>
    <row r="1350" spans="1:15" s="127" customFormat="1" ht="15" customHeight="1">
      <c r="A1350" s="337"/>
      <c r="B1350" s="337"/>
      <c r="C1350" s="1001" t="s">
        <v>1839</v>
      </c>
      <c r="D1350" s="1001"/>
      <c r="E1350" s="1001"/>
      <c r="F1350" s="1001"/>
      <c r="G1350" s="343" t="s">
        <v>61</v>
      </c>
      <c r="H1350" s="443"/>
      <c r="I1350" s="340"/>
      <c r="J1350" s="340"/>
      <c r="K1350" s="340">
        <v>3.15</v>
      </c>
      <c r="L1350" s="382">
        <v>17.001100000000001</v>
      </c>
      <c r="M1350" s="382">
        <f>(1.46*1.5)+(0.8*2.1)+(0.7*2.1)</f>
        <v>5.34</v>
      </c>
      <c r="N1350" s="457">
        <f t="shared" si="52"/>
        <v>48.213464999999999</v>
      </c>
      <c r="O1350" s="458"/>
    </row>
    <row r="1351" spans="1:15" s="127" customFormat="1" ht="13.15" customHeight="1">
      <c r="A1351" s="337"/>
      <c r="B1351" s="337"/>
      <c r="C1351" s="1001" t="s">
        <v>1840</v>
      </c>
      <c r="D1351" s="1001"/>
      <c r="E1351" s="1001"/>
      <c r="F1351" s="1001"/>
      <c r="G1351" s="343" t="s">
        <v>61</v>
      </c>
      <c r="H1351" s="443"/>
      <c r="I1351" s="340"/>
      <c r="J1351" s="340"/>
      <c r="K1351" s="340">
        <v>3.15</v>
      </c>
      <c r="L1351" s="382">
        <v>5.8</v>
      </c>
      <c r="M1351" s="382">
        <f>(0.7*2.1)+(1*0.5)</f>
        <v>1.97</v>
      </c>
      <c r="N1351" s="457">
        <f t="shared" si="52"/>
        <v>16.3</v>
      </c>
      <c r="O1351" s="458"/>
    </row>
    <row r="1352" spans="1:15" s="127" customFormat="1">
      <c r="A1352" s="337"/>
      <c r="B1352" s="337"/>
      <c r="C1352" s="1001" t="s">
        <v>1841</v>
      </c>
      <c r="D1352" s="1001"/>
      <c r="E1352" s="1001"/>
      <c r="F1352" s="1001"/>
      <c r="G1352" s="343" t="s">
        <v>61</v>
      </c>
      <c r="H1352" s="443"/>
      <c r="I1352" s="340"/>
      <c r="J1352" s="340"/>
      <c r="K1352" s="340">
        <v>4.45</v>
      </c>
      <c r="L1352" s="382">
        <v>66.2</v>
      </c>
      <c r="M1352" s="382">
        <f>(2.75*2.5)+(9.6*4)+(2.4*4)+(1.8*1.5)+(0.8*2.1)*8+(0.8*2.13)+(3.05*4)+(1.91*1.5)*2</f>
        <v>90.649000000000001</v>
      </c>
      <c r="N1352" s="457">
        <f t="shared" si="52"/>
        <v>203.94100000000003</v>
      </c>
      <c r="O1352" s="458"/>
    </row>
    <row r="1353" spans="1:15" s="127" customFormat="1">
      <c r="A1353" s="337"/>
      <c r="B1353" s="337"/>
      <c r="C1353" s="1001" t="s">
        <v>1825</v>
      </c>
      <c r="D1353" s="1001"/>
      <c r="E1353" s="1001"/>
      <c r="F1353" s="1001"/>
      <c r="G1353" s="343" t="s">
        <v>61</v>
      </c>
      <c r="H1353" s="443"/>
      <c r="I1353" s="340"/>
      <c r="J1353" s="340"/>
      <c r="K1353" s="340">
        <v>3.15</v>
      </c>
      <c r="L1353" s="382">
        <v>19.7</v>
      </c>
      <c r="M1353" s="382">
        <f>2*(0.8*2.1)+(1.46*1.5)</f>
        <v>5.5500000000000007</v>
      </c>
      <c r="N1353" s="457">
        <f t="shared" si="52"/>
        <v>56.504999999999995</v>
      </c>
      <c r="O1353" s="458"/>
    </row>
    <row r="1354" spans="1:15" s="127" customFormat="1">
      <c r="A1354" s="337"/>
      <c r="B1354" s="337"/>
      <c r="C1354" s="1001" t="s">
        <v>1824</v>
      </c>
      <c r="D1354" s="1001"/>
      <c r="E1354" s="1001"/>
      <c r="F1354" s="1001"/>
      <c r="G1354" s="343" t="s">
        <v>61</v>
      </c>
      <c r="H1354" s="443"/>
      <c r="I1354" s="340"/>
      <c r="J1354" s="340"/>
      <c r="K1354" s="340">
        <v>3.15</v>
      </c>
      <c r="L1354" s="382">
        <v>17.64</v>
      </c>
      <c r="M1354" s="382">
        <f>2*(1.46*1.5)+(0.8*2.1)</f>
        <v>6.0600000000000005</v>
      </c>
      <c r="N1354" s="457">
        <f t="shared" si="52"/>
        <v>49.506</v>
      </c>
      <c r="O1354" s="458"/>
    </row>
    <row r="1355" spans="1:15" s="127" customFormat="1">
      <c r="A1355" s="337"/>
      <c r="B1355" s="337"/>
      <c r="C1355" s="1001" t="s">
        <v>1830</v>
      </c>
      <c r="D1355" s="1001"/>
      <c r="E1355" s="1001"/>
      <c r="F1355" s="1001"/>
      <c r="G1355" s="343" t="s">
        <v>61</v>
      </c>
      <c r="H1355" s="443"/>
      <c r="I1355" s="340"/>
      <c r="J1355" s="340"/>
      <c r="K1355" s="340">
        <v>3.15</v>
      </c>
      <c r="L1355" s="382">
        <v>20.58</v>
      </c>
      <c r="M1355" s="382">
        <f>6*(0.8*2.1)</f>
        <v>10.080000000000002</v>
      </c>
      <c r="N1355" s="457">
        <f t="shared" si="52"/>
        <v>54.747</v>
      </c>
      <c r="O1355" s="458"/>
    </row>
    <row r="1356" spans="1:15" s="127" customFormat="1">
      <c r="A1356" s="337"/>
      <c r="B1356" s="337"/>
      <c r="C1356" s="1001" t="s">
        <v>1822</v>
      </c>
      <c r="D1356" s="1001"/>
      <c r="E1356" s="1001"/>
      <c r="F1356" s="1001"/>
      <c r="G1356" s="343" t="s">
        <v>61</v>
      </c>
      <c r="H1356" s="443"/>
      <c r="I1356" s="340"/>
      <c r="J1356" s="340"/>
      <c r="K1356" s="340">
        <v>3.15</v>
      </c>
      <c r="L1356" s="382">
        <v>20.677499999999998</v>
      </c>
      <c r="M1356" s="382">
        <f>2*(1.46*1.5)+(0.8*2.1)+(0.7*2.1)</f>
        <v>7.53</v>
      </c>
      <c r="N1356" s="457">
        <f t="shared" si="52"/>
        <v>57.604124999999996</v>
      </c>
      <c r="O1356" s="458"/>
    </row>
    <row r="1357" spans="1:15" s="127" customFormat="1">
      <c r="A1357" s="337"/>
      <c r="B1357" s="337"/>
      <c r="C1357" s="1001" t="s">
        <v>1823</v>
      </c>
      <c r="D1357" s="1001"/>
      <c r="E1357" s="1001"/>
      <c r="F1357" s="1001"/>
      <c r="G1357" s="343" t="s">
        <v>61</v>
      </c>
      <c r="H1357" s="443"/>
      <c r="I1357" s="340"/>
      <c r="J1357" s="340"/>
      <c r="K1357" s="340">
        <v>3.15</v>
      </c>
      <c r="L1357" s="382">
        <v>6.4</v>
      </c>
      <c r="M1357" s="382">
        <f>(0.7*2.1)+(1*0.5)</f>
        <v>1.97</v>
      </c>
      <c r="N1357" s="457">
        <f t="shared" si="52"/>
        <v>18.190000000000001</v>
      </c>
      <c r="O1357" s="458"/>
    </row>
    <row r="1358" spans="1:15" s="127" customFormat="1">
      <c r="A1358" s="337"/>
      <c r="B1358" s="337"/>
      <c r="C1358" s="1001" t="s">
        <v>1842</v>
      </c>
      <c r="D1358" s="1001"/>
      <c r="E1358" s="1001"/>
      <c r="F1358" s="1001"/>
      <c r="G1358" s="343" t="s">
        <v>61</v>
      </c>
      <c r="H1358" s="443"/>
      <c r="I1358" s="340"/>
      <c r="J1358" s="340"/>
      <c r="K1358" s="340">
        <v>3.15</v>
      </c>
      <c r="L1358" s="459">
        <v>27.7</v>
      </c>
      <c r="M1358" s="459">
        <f>(0.8*2.1)+(1*1)+(3.5*1.9)</f>
        <v>9.33</v>
      </c>
      <c r="N1358" s="457">
        <f t="shared" si="52"/>
        <v>77.924999999999997</v>
      </c>
      <c r="O1358" s="458"/>
    </row>
    <row r="1359" spans="1:15" s="127" customFormat="1">
      <c r="A1359" s="337"/>
      <c r="B1359" s="337"/>
      <c r="C1359" s="1001" t="s">
        <v>1843</v>
      </c>
      <c r="D1359" s="1001"/>
      <c r="E1359" s="1001"/>
      <c r="F1359" s="1001"/>
      <c r="G1359" s="343" t="s">
        <v>61</v>
      </c>
      <c r="H1359" s="443"/>
      <c r="I1359" s="340"/>
      <c r="J1359" s="340"/>
      <c r="K1359" s="340">
        <v>3.15</v>
      </c>
      <c r="L1359" s="459">
        <v>8.92</v>
      </c>
      <c r="M1359" s="459">
        <f>2*(0.8*2.1)+(1*1)+(1.91*1.5)</f>
        <v>7.2249999999999996</v>
      </c>
      <c r="N1359" s="457">
        <f t="shared" si="52"/>
        <v>20.872999999999998</v>
      </c>
      <c r="O1359" s="458"/>
    </row>
    <row r="1360" spans="1:15" s="127" customFormat="1">
      <c r="A1360" s="337"/>
      <c r="B1360" s="337"/>
      <c r="C1360" s="1001" t="s">
        <v>1814</v>
      </c>
      <c r="D1360" s="1001"/>
      <c r="E1360" s="1001"/>
      <c r="F1360" s="1001"/>
      <c r="G1360" s="343" t="s">
        <v>61</v>
      </c>
      <c r="H1360" s="443"/>
      <c r="I1360" s="340"/>
      <c r="J1360" s="340"/>
      <c r="K1360" s="340">
        <v>3.15</v>
      </c>
      <c r="L1360" s="459">
        <v>12.44</v>
      </c>
      <c r="M1360" s="459">
        <f>(0.8*2.1)*2+(2.1*1.2)+(1.8*2.4)</f>
        <v>10.200000000000001</v>
      </c>
      <c r="N1360" s="457">
        <f t="shared" si="52"/>
        <v>28.985999999999997</v>
      </c>
      <c r="O1360" s="458"/>
    </row>
    <row r="1361" spans="1:15" s="127" customFormat="1">
      <c r="A1361" s="337"/>
      <c r="B1361" s="337"/>
      <c r="C1361" s="1001" t="s">
        <v>1815</v>
      </c>
      <c r="D1361" s="1001"/>
      <c r="E1361" s="1001"/>
      <c r="F1361" s="1001"/>
      <c r="G1361" s="343" t="s">
        <v>61</v>
      </c>
      <c r="H1361" s="443"/>
      <c r="I1361" s="340"/>
      <c r="J1361" s="340"/>
      <c r="K1361" s="340">
        <v>3.15</v>
      </c>
      <c r="L1361" s="459">
        <v>13.6</v>
      </c>
      <c r="M1361" s="459">
        <f>(2.1*0.8)+(1.2*2.1)+(1.46*1.5)+(2*0.5)</f>
        <v>7.3900000000000006</v>
      </c>
      <c r="N1361" s="457">
        <f t="shared" si="52"/>
        <v>35.449999999999996</v>
      </c>
      <c r="O1361" s="458"/>
    </row>
    <row r="1362" spans="1:15" s="127" customFormat="1">
      <c r="A1362" s="337"/>
      <c r="B1362" s="337"/>
      <c r="C1362" s="1001" t="s">
        <v>1816</v>
      </c>
      <c r="D1362" s="1001"/>
      <c r="E1362" s="1001"/>
      <c r="F1362" s="1001"/>
      <c r="G1362" s="343" t="s">
        <v>61</v>
      </c>
      <c r="H1362" s="443"/>
      <c r="I1362" s="340"/>
      <c r="J1362" s="340"/>
      <c r="K1362" s="340">
        <v>3.15</v>
      </c>
      <c r="L1362" s="459">
        <v>10.47</v>
      </c>
      <c r="M1362" s="123">
        <f>(2*0.5)+(0.8*2.1)</f>
        <v>2.68</v>
      </c>
      <c r="N1362" s="457">
        <f t="shared" si="52"/>
        <v>30.3005</v>
      </c>
      <c r="O1362" s="458"/>
    </row>
    <row r="1363" spans="1:15" s="127" customFormat="1">
      <c r="A1363" s="337"/>
      <c r="B1363" s="337"/>
      <c r="C1363" s="1001" t="s">
        <v>1817</v>
      </c>
      <c r="D1363" s="1001"/>
      <c r="E1363" s="1001"/>
      <c r="F1363" s="1001"/>
      <c r="G1363" s="343" t="s">
        <v>61</v>
      </c>
      <c r="H1363" s="443"/>
      <c r="I1363" s="340"/>
      <c r="J1363" s="340"/>
      <c r="K1363" s="340">
        <v>3.15</v>
      </c>
      <c r="L1363" s="459">
        <v>10.435</v>
      </c>
      <c r="M1363" s="123">
        <f>(2*0.5)+(0.8*2.1)</f>
        <v>2.68</v>
      </c>
      <c r="N1363" s="457">
        <f t="shared" si="52"/>
        <v>30.190249999999999</v>
      </c>
      <c r="O1363" s="458"/>
    </row>
    <row r="1364" spans="1:15" s="127" customFormat="1">
      <c r="A1364" s="337"/>
      <c r="B1364" s="337"/>
      <c r="C1364" s="1001" t="s">
        <v>1818</v>
      </c>
      <c r="D1364" s="1001"/>
      <c r="E1364" s="1001"/>
      <c r="F1364" s="1001"/>
      <c r="G1364" s="343" t="s">
        <v>61</v>
      </c>
      <c r="H1364" s="443"/>
      <c r="I1364" s="340"/>
      <c r="J1364" s="340"/>
      <c r="K1364" s="340">
        <v>3.15</v>
      </c>
      <c r="L1364" s="459">
        <v>6.2</v>
      </c>
      <c r="M1364" s="123">
        <f>2*(0.7*2.1)</f>
        <v>2.94</v>
      </c>
      <c r="N1364" s="457">
        <f t="shared" si="52"/>
        <v>16.59</v>
      </c>
      <c r="O1364" s="458"/>
    </row>
    <row r="1365" spans="1:15" s="127" customFormat="1">
      <c r="A1365" s="337"/>
      <c r="B1365" s="337"/>
      <c r="C1365" s="1001" t="s">
        <v>1819</v>
      </c>
      <c r="D1365" s="1001"/>
      <c r="E1365" s="1001"/>
      <c r="F1365" s="1001"/>
      <c r="G1365" s="343" t="s">
        <v>61</v>
      </c>
      <c r="H1365" s="443"/>
      <c r="I1365" s="340"/>
      <c r="J1365" s="340"/>
      <c r="K1365" s="340">
        <v>3.15</v>
      </c>
      <c r="L1365" s="459">
        <v>7.8</v>
      </c>
      <c r="M1365" s="123">
        <f>1*0.5+(0.7*2.1)</f>
        <v>1.97</v>
      </c>
      <c r="N1365" s="457">
        <f t="shared" si="52"/>
        <v>22.6</v>
      </c>
      <c r="O1365" s="458"/>
    </row>
    <row r="1366" spans="1:15" s="127" customFormat="1">
      <c r="A1366" s="337"/>
      <c r="B1366" s="337"/>
      <c r="C1366" s="1001" t="s">
        <v>1820</v>
      </c>
      <c r="D1366" s="1001"/>
      <c r="E1366" s="1001"/>
      <c r="F1366" s="1001"/>
      <c r="G1366" s="343" t="s">
        <v>61</v>
      </c>
      <c r="H1366" s="443"/>
      <c r="I1366" s="340"/>
      <c r="J1366" s="340"/>
      <c r="K1366" s="340">
        <v>3.15</v>
      </c>
      <c r="L1366" s="459">
        <v>18.18</v>
      </c>
      <c r="M1366" s="123">
        <f>2*(2*0.5)+(0.8*2.1)+(1.6*2.1)</f>
        <v>7.0400000000000009</v>
      </c>
      <c r="N1366" s="457">
        <f t="shared" si="52"/>
        <v>50.226999999999997</v>
      </c>
      <c r="O1366" s="458"/>
    </row>
    <row r="1367" spans="1:15" s="127" customFormat="1">
      <c r="A1367" s="337"/>
      <c r="B1367" s="337"/>
      <c r="C1367" s="1001" t="s">
        <v>1821</v>
      </c>
      <c r="D1367" s="1001"/>
      <c r="E1367" s="1001"/>
      <c r="F1367" s="1001"/>
      <c r="G1367" s="343" t="s">
        <v>61</v>
      </c>
      <c r="H1367" s="443"/>
      <c r="I1367" s="340"/>
      <c r="J1367" s="340"/>
      <c r="K1367" s="340">
        <v>3.15</v>
      </c>
      <c r="L1367" s="459">
        <v>15.68</v>
      </c>
      <c r="M1367" s="123">
        <f>(0.8*2.1)+(2*0.5)</f>
        <v>2.68</v>
      </c>
      <c r="N1367" s="457">
        <f t="shared" si="52"/>
        <v>46.711999999999996</v>
      </c>
      <c r="O1367" s="458"/>
    </row>
    <row r="1368" spans="1:15" s="127" customFormat="1">
      <c r="A1368" s="337"/>
      <c r="B1368" s="337"/>
      <c r="C1368" s="1001" t="s">
        <v>1822</v>
      </c>
      <c r="D1368" s="1001"/>
      <c r="E1368" s="1001"/>
      <c r="F1368" s="1001"/>
      <c r="G1368" s="343" t="s">
        <v>61</v>
      </c>
      <c r="H1368" s="443"/>
      <c r="I1368" s="340"/>
      <c r="J1368" s="340"/>
      <c r="K1368" s="340">
        <v>3.15</v>
      </c>
      <c r="L1368" s="459">
        <v>20.68</v>
      </c>
      <c r="M1368" s="123">
        <f>2*(1.46*1.5)+(0.8*2.1)+(0.7*2.1)</f>
        <v>7.53</v>
      </c>
      <c r="N1368" s="457">
        <f t="shared" si="52"/>
        <v>57.611999999999995</v>
      </c>
      <c r="O1368" s="458"/>
    </row>
    <row r="1369" spans="1:15" s="127" customFormat="1">
      <c r="A1369" s="337"/>
      <c r="B1369" s="337"/>
      <c r="C1369" s="1001" t="s">
        <v>1979</v>
      </c>
      <c r="D1369" s="1001"/>
      <c r="E1369" s="1001"/>
      <c r="F1369" s="1001"/>
      <c r="G1369" s="343" t="s">
        <v>61</v>
      </c>
      <c r="H1369" s="443"/>
      <c r="I1369" s="340"/>
      <c r="J1369" s="340"/>
      <c r="K1369" s="340">
        <v>3.15</v>
      </c>
      <c r="L1369" s="459">
        <v>6.4</v>
      </c>
      <c r="M1369" s="309">
        <f>(0.7*2.1)+(1*0.5)</f>
        <v>1.97</v>
      </c>
      <c r="N1369" s="457">
        <f t="shared" si="52"/>
        <v>18.190000000000001</v>
      </c>
      <c r="O1369" s="458"/>
    </row>
    <row r="1370" spans="1:15" s="127" customFormat="1">
      <c r="A1370" s="337"/>
      <c r="B1370" s="337"/>
      <c r="C1370" s="1001" t="s">
        <v>1842</v>
      </c>
      <c r="D1370" s="1001"/>
      <c r="E1370" s="1001"/>
      <c r="F1370" s="1001"/>
      <c r="G1370" s="343" t="s">
        <v>61</v>
      </c>
      <c r="H1370" s="443"/>
      <c r="I1370" s="340"/>
      <c r="J1370" s="340"/>
      <c r="K1370" s="340">
        <v>3.15</v>
      </c>
      <c r="L1370" s="459">
        <v>27.7</v>
      </c>
      <c r="M1370" s="587">
        <f>(3.5*1.9)+(1*1)+(0.8*2.1)</f>
        <v>9.33</v>
      </c>
      <c r="N1370" s="457">
        <f t="shared" si="52"/>
        <v>77.924999999999997</v>
      </c>
      <c r="O1370" s="458"/>
    </row>
    <row r="1371" spans="1:15" s="127" customFormat="1">
      <c r="A1371" s="337"/>
      <c r="B1371" s="337"/>
      <c r="C1371" s="1001" t="s">
        <v>1843</v>
      </c>
      <c r="D1371" s="1001"/>
      <c r="E1371" s="1001"/>
      <c r="F1371" s="1001"/>
      <c r="G1371" s="343" t="s">
        <v>61</v>
      </c>
      <c r="H1371" s="443"/>
      <c r="I1371" s="340"/>
      <c r="J1371" s="340"/>
      <c r="K1371" s="340">
        <v>3.15</v>
      </c>
      <c r="L1371" s="459">
        <v>8.92</v>
      </c>
      <c r="M1371" s="587">
        <f>2*(2.1*0.8)+(1.91*1.5)+(1*1)</f>
        <v>7.2249999999999996</v>
      </c>
      <c r="N1371" s="457">
        <f t="shared" si="52"/>
        <v>20.872999999999998</v>
      </c>
      <c r="O1371" s="458"/>
    </row>
    <row r="1372" spans="1:15" s="127" customFormat="1">
      <c r="A1372" s="337"/>
      <c r="B1372" s="337"/>
      <c r="C1372" s="1001" t="s">
        <v>1830</v>
      </c>
      <c r="D1372" s="1001"/>
      <c r="E1372" s="1001"/>
      <c r="F1372" s="1001"/>
      <c r="G1372" s="343" t="s">
        <v>61</v>
      </c>
      <c r="H1372" s="443"/>
      <c r="I1372" s="340"/>
      <c r="J1372" s="340"/>
      <c r="K1372" s="340">
        <v>3.15</v>
      </c>
      <c r="L1372" s="457">
        <v>20.58</v>
      </c>
      <c r="M1372" s="587">
        <f>(2.1*0.8)*6</f>
        <v>10.080000000000002</v>
      </c>
      <c r="N1372" s="457">
        <f t="shared" si="52"/>
        <v>54.747</v>
      </c>
      <c r="O1372" s="458"/>
    </row>
    <row r="1373" spans="1:15" s="127" customFormat="1">
      <c r="A1373" s="337"/>
      <c r="B1373" s="337"/>
      <c r="C1373" s="1001" t="s">
        <v>1824</v>
      </c>
      <c r="D1373" s="1001"/>
      <c r="E1373" s="1001"/>
      <c r="F1373" s="1001"/>
      <c r="G1373" s="343" t="s">
        <v>61</v>
      </c>
      <c r="H1373" s="443"/>
      <c r="I1373" s="340"/>
      <c r="J1373" s="340"/>
      <c r="K1373" s="340">
        <v>3.15</v>
      </c>
      <c r="L1373" s="457">
        <v>17.64</v>
      </c>
      <c r="M1373" s="587">
        <f>(1.46*1.5)+(0.8*2.1)</f>
        <v>3.87</v>
      </c>
      <c r="N1373" s="457">
        <f t="shared" si="52"/>
        <v>51.696000000000005</v>
      </c>
      <c r="O1373" s="458"/>
    </row>
    <row r="1374" spans="1:15" s="127" customFormat="1">
      <c r="A1374" s="337"/>
      <c r="B1374" s="337"/>
      <c r="C1374" s="1001" t="s">
        <v>1855</v>
      </c>
      <c r="D1374" s="1001"/>
      <c r="E1374" s="1001"/>
      <c r="F1374" s="1001"/>
      <c r="G1374" s="343" t="s">
        <v>61</v>
      </c>
      <c r="H1374" s="443"/>
      <c r="I1374" s="340"/>
      <c r="J1374" s="340"/>
      <c r="K1374" s="340">
        <v>3.15</v>
      </c>
      <c r="L1374" s="457">
        <v>22.4</v>
      </c>
      <c r="M1374" s="587">
        <f>3*(2.1*0.8)</f>
        <v>5.0400000000000009</v>
      </c>
      <c r="N1374" s="457">
        <f t="shared" si="52"/>
        <v>65.519999999999982</v>
      </c>
      <c r="O1374" s="458"/>
    </row>
    <row r="1375" spans="1:15" s="127" customFormat="1" ht="13.15" customHeight="1">
      <c r="A1375" s="337"/>
      <c r="B1375" s="337"/>
      <c r="C1375" s="1001" t="s">
        <v>1826</v>
      </c>
      <c r="D1375" s="1001"/>
      <c r="E1375" s="1001"/>
      <c r="F1375" s="1001"/>
      <c r="G1375" s="343" t="s">
        <v>61</v>
      </c>
      <c r="H1375" s="443"/>
      <c r="I1375" s="340"/>
      <c r="J1375" s="340"/>
      <c r="K1375" s="340">
        <v>3.15</v>
      </c>
      <c r="L1375" s="459">
        <v>9.1999999999999993</v>
      </c>
      <c r="M1375" s="309">
        <f>(1*0.4)+(0.94*1)+(0.8*2.1)</f>
        <v>3.02</v>
      </c>
      <c r="N1375" s="457">
        <f t="shared" si="52"/>
        <v>25.959999999999997</v>
      </c>
      <c r="O1375" s="458"/>
    </row>
    <row r="1376" spans="1:15" s="127" customFormat="1">
      <c r="A1376" s="337"/>
      <c r="B1376" s="337"/>
      <c r="C1376" s="1001" t="s">
        <v>1980</v>
      </c>
      <c r="D1376" s="1001"/>
      <c r="E1376" s="1001"/>
      <c r="F1376" s="1001"/>
      <c r="G1376" s="343" t="s">
        <v>61</v>
      </c>
      <c r="H1376" s="443"/>
      <c r="I1376" s="340"/>
      <c r="J1376" s="340"/>
      <c r="K1376" s="340">
        <v>3.15</v>
      </c>
      <c r="L1376" s="459">
        <v>8.9</v>
      </c>
      <c r="M1376" s="309">
        <f>(2.1*0.8)+(2.65*1)</f>
        <v>4.33</v>
      </c>
      <c r="N1376" s="457">
        <f t="shared" si="52"/>
        <v>23.704999999999998</v>
      </c>
      <c r="O1376" s="458"/>
    </row>
    <row r="1377" spans="1:15" s="127" customFormat="1" ht="13.15" customHeight="1">
      <c r="A1377" s="337"/>
      <c r="B1377" s="337"/>
      <c r="C1377" s="1001" t="s">
        <v>1981</v>
      </c>
      <c r="D1377" s="1001"/>
      <c r="E1377" s="1001"/>
      <c r="F1377" s="1001"/>
      <c r="G1377" s="343" t="s">
        <v>61</v>
      </c>
      <c r="H1377" s="443"/>
      <c r="I1377" s="340"/>
      <c r="J1377" s="340"/>
      <c r="K1377" s="340">
        <v>3.15</v>
      </c>
      <c r="L1377" s="459">
        <v>8.9</v>
      </c>
      <c r="M1377" s="309">
        <f>2.1*0.8+(2.65*1)</f>
        <v>4.33</v>
      </c>
      <c r="N1377" s="457">
        <f t="shared" si="52"/>
        <v>23.704999999999998</v>
      </c>
      <c r="O1377" s="458"/>
    </row>
    <row r="1378" spans="1:15" s="127" customFormat="1" ht="13.15" customHeight="1">
      <c r="A1378" s="337"/>
      <c r="B1378" s="337"/>
      <c r="C1378" s="1001" t="s">
        <v>1830</v>
      </c>
      <c r="D1378" s="1001"/>
      <c r="E1378" s="1001"/>
      <c r="F1378" s="1001"/>
      <c r="G1378" s="343" t="s">
        <v>61</v>
      </c>
      <c r="H1378" s="443"/>
      <c r="I1378" s="340"/>
      <c r="J1378" s="340"/>
      <c r="K1378" s="340">
        <v>3.15</v>
      </c>
      <c r="L1378" s="459">
        <f>16.4988+7.8</f>
        <v>24.2988</v>
      </c>
      <c r="M1378" s="309">
        <f>7*(2.1*0.8)+(0.5*2.6)+(0.94*1)</f>
        <v>14.000000000000002</v>
      </c>
      <c r="N1378" s="457">
        <f t="shared" si="52"/>
        <v>62.541219999999996</v>
      </c>
      <c r="O1378" s="458"/>
    </row>
    <row r="1379" spans="1:15" s="127" customFormat="1">
      <c r="A1379" s="337"/>
      <c r="B1379" s="337"/>
      <c r="C1379" s="1001" t="s">
        <v>1831</v>
      </c>
      <c r="D1379" s="1001"/>
      <c r="E1379" s="1001"/>
      <c r="F1379" s="1001"/>
      <c r="G1379" s="343" t="s">
        <v>61</v>
      </c>
      <c r="H1379" s="443"/>
      <c r="I1379" s="340"/>
      <c r="J1379" s="340"/>
      <c r="K1379" s="340">
        <v>3.45</v>
      </c>
      <c r="L1379" s="459">
        <v>47</v>
      </c>
      <c r="M1379" s="309">
        <f>3*(2.6*0.5)+(1.6*2.1)+(0.8*2.1)</f>
        <v>8.9400000000000013</v>
      </c>
      <c r="N1379" s="457">
        <f t="shared" si="52"/>
        <v>153.21</v>
      </c>
      <c r="O1379" s="458"/>
    </row>
    <row r="1380" spans="1:15" s="129" customFormat="1" ht="13.5" customHeight="1">
      <c r="A1380" s="337"/>
      <c r="B1380" s="337"/>
      <c r="C1380" s="1001" t="s">
        <v>1982</v>
      </c>
      <c r="D1380" s="1001"/>
      <c r="E1380" s="1001"/>
      <c r="F1380" s="1001"/>
      <c r="G1380" s="343" t="s">
        <v>61</v>
      </c>
      <c r="H1380" s="340"/>
      <c r="I1380" s="340"/>
      <c r="J1380" s="119"/>
      <c r="K1380" s="119">
        <v>4.45</v>
      </c>
      <c r="L1380" s="119">
        <v>37.482799999999997</v>
      </c>
      <c r="M1380" s="587">
        <f>(2.75*2.5)+(2.2*4)+(1.63+3.61+1.94)*2.8+2*(0.7*2.1)+2*(0.8*2.1)</f>
        <v>42.078999999999994</v>
      </c>
      <c r="N1380" s="457">
        <f t="shared" si="52"/>
        <v>124.71946000000001</v>
      </c>
      <c r="O1380" s="119"/>
    </row>
    <row r="1381" spans="1:15" s="135" customFormat="1" ht="13.5" customHeight="1">
      <c r="A1381" s="337"/>
      <c r="B1381" s="337"/>
      <c r="C1381" s="1001" t="s">
        <v>1983</v>
      </c>
      <c r="D1381" s="1001"/>
      <c r="E1381" s="1001"/>
      <c r="F1381" s="1001"/>
      <c r="G1381" s="343" t="s">
        <v>61</v>
      </c>
      <c r="H1381" s="443"/>
      <c r="I1381" s="340"/>
      <c r="J1381" s="458"/>
      <c r="K1381" s="458">
        <v>3.15</v>
      </c>
      <c r="L1381" s="458">
        <v>7.2</v>
      </c>
      <c r="M1381" s="309">
        <f>0.8*2.1</f>
        <v>1.6800000000000002</v>
      </c>
      <c r="N1381" s="457">
        <f t="shared" si="52"/>
        <v>21</v>
      </c>
      <c r="O1381" s="458"/>
    </row>
    <row r="1382" spans="1:15" s="136" customFormat="1" ht="14.25" customHeight="1">
      <c r="A1382" s="337"/>
      <c r="B1382" s="337"/>
      <c r="C1382" s="1001" t="s">
        <v>1984</v>
      </c>
      <c r="D1382" s="1001"/>
      <c r="E1382" s="1001"/>
      <c r="F1382" s="1001"/>
      <c r="G1382" s="343" t="s">
        <v>61</v>
      </c>
      <c r="H1382" s="443"/>
      <c r="I1382" s="340"/>
      <c r="J1382" s="340"/>
      <c r="K1382" s="458">
        <v>3.15</v>
      </c>
      <c r="L1382" s="457">
        <v>7.2</v>
      </c>
      <c r="M1382" s="309">
        <f>0.8*2.1</f>
        <v>1.6800000000000002</v>
      </c>
      <c r="N1382" s="457">
        <f t="shared" si="52"/>
        <v>21</v>
      </c>
      <c r="O1382" s="457"/>
    </row>
    <row r="1383" spans="1:15" s="136" customFormat="1" ht="15">
      <c r="A1383" s="337"/>
      <c r="B1383" s="337"/>
      <c r="C1383" s="1001" t="s">
        <v>1832</v>
      </c>
      <c r="D1383" s="1001"/>
      <c r="E1383" s="1001"/>
      <c r="F1383" s="1001"/>
      <c r="G1383" s="343" t="s">
        <v>61</v>
      </c>
      <c r="H1383" s="443"/>
      <c r="I1383" s="340"/>
      <c r="J1383" s="340"/>
      <c r="K1383" s="458">
        <v>3.15</v>
      </c>
      <c r="L1383" s="457">
        <v>5.8</v>
      </c>
      <c r="M1383" s="309">
        <f>(0.7*2.1)+(1*0.5)</f>
        <v>1.97</v>
      </c>
      <c r="N1383" s="457">
        <f t="shared" si="52"/>
        <v>16.3</v>
      </c>
      <c r="O1383" s="457"/>
    </row>
    <row r="1384" spans="1:15" s="136" customFormat="1" ht="15.75" customHeight="1">
      <c r="A1384" s="337"/>
      <c r="B1384" s="337"/>
      <c r="C1384" s="1001" t="s">
        <v>1833</v>
      </c>
      <c r="D1384" s="1001"/>
      <c r="E1384" s="1001"/>
      <c r="F1384" s="1001"/>
      <c r="G1384" s="343" t="s">
        <v>61</v>
      </c>
      <c r="H1384" s="443"/>
      <c r="I1384" s="340"/>
      <c r="J1384" s="340"/>
      <c r="K1384" s="458">
        <v>3.15</v>
      </c>
      <c r="L1384" s="457">
        <v>5.8</v>
      </c>
      <c r="M1384" s="309">
        <f>(0.7*2.1)+(1*0.5)</f>
        <v>1.97</v>
      </c>
      <c r="N1384" s="457">
        <f t="shared" si="52"/>
        <v>16.3</v>
      </c>
      <c r="O1384" s="457"/>
    </row>
    <row r="1385" spans="1:15" s="136" customFormat="1" ht="15">
      <c r="A1385" s="337"/>
      <c r="B1385" s="337"/>
      <c r="C1385" s="1001" t="s">
        <v>1813</v>
      </c>
      <c r="D1385" s="1035"/>
      <c r="E1385" s="1035"/>
      <c r="F1385" s="1036"/>
      <c r="G1385" s="343" t="s">
        <v>61</v>
      </c>
      <c r="H1385" s="443"/>
      <c r="I1385" s="340"/>
      <c r="J1385" s="340"/>
      <c r="K1385" s="382">
        <v>6.35</v>
      </c>
      <c r="L1385" s="457">
        <v>152.0643</v>
      </c>
      <c r="M1385" s="587">
        <f>12*(1.46*1.5)+(1*0.5)*7+(2.4*4)+(3.05*4)+(2.4*1.8)*2+6*(2*0.5)+(1.6*2.1)+(0.8*2.1)+(1*0.5)+4*(2.6*0.5)+(1.94+3.61+1.63)*2.8+(2.2+9.6)*4</f>
        <v>144.26400000000001</v>
      </c>
      <c r="N1385" s="457">
        <f t="shared" si="52"/>
        <v>821.34430499999996</v>
      </c>
      <c r="O1385" s="457"/>
    </row>
    <row r="1386" spans="1:15" s="135" customFormat="1" ht="13.5" customHeight="1">
      <c r="A1386" s="337"/>
      <c r="B1386" s="337"/>
      <c r="C1386" s="1001" t="s">
        <v>1985</v>
      </c>
      <c r="D1386" s="1001"/>
      <c r="E1386" s="1001"/>
      <c r="F1386" s="1001"/>
      <c r="G1386" s="343" t="s">
        <v>61</v>
      </c>
      <c r="H1386" s="443"/>
      <c r="I1386" s="340"/>
      <c r="J1386" s="458"/>
      <c r="K1386" s="458">
        <v>2.7</v>
      </c>
      <c r="L1386" s="458">
        <v>103.76260000000001</v>
      </c>
      <c r="M1386" s="587">
        <f>3.3*2.5</f>
        <v>8.25</v>
      </c>
      <c r="N1386" s="457">
        <f>(2*(L1386*K1386))-M1386+(L1386*0.15)</f>
        <v>567.63243000000011</v>
      </c>
      <c r="O1386" s="458"/>
    </row>
    <row r="1387" spans="1:15" s="137" customFormat="1">
      <c r="A1387" s="337"/>
      <c r="B1387" s="337"/>
      <c r="C1387" s="1002" t="s">
        <v>1986</v>
      </c>
      <c r="D1387" s="1002"/>
      <c r="E1387" s="1002"/>
      <c r="F1387" s="1002"/>
      <c r="G1387" s="343" t="s">
        <v>61</v>
      </c>
      <c r="H1387" s="443"/>
      <c r="I1387" s="340"/>
      <c r="J1387" s="340"/>
      <c r="K1387" s="340">
        <v>0.2</v>
      </c>
      <c r="L1387" s="121">
        <f>(4.3+6.27)</f>
        <v>10.57</v>
      </c>
      <c r="M1387" s="587"/>
      <c r="N1387" s="457">
        <f>((L1387*K1387)*2)+L1387*0.15</f>
        <v>5.8135000000000003</v>
      </c>
      <c r="O1387" s="119"/>
    </row>
    <row r="1388" spans="1:15" s="137" customFormat="1">
      <c r="A1388" s="337"/>
      <c r="B1388" s="337"/>
      <c r="C1388" s="1006" t="s">
        <v>1987</v>
      </c>
      <c r="D1388" s="1006"/>
      <c r="E1388" s="1006"/>
      <c r="F1388" s="1006"/>
      <c r="G1388" s="338"/>
      <c r="H1388" s="443"/>
      <c r="I1388" s="340"/>
      <c r="J1388" s="340"/>
      <c r="K1388" s="340"/>
      <c r="L1388" s="121"/>
      <c r="M1388" s="587"/>
      <c r="N1388" s="457"/>
      <c r="O1388" s="119"/>
    </row>
    <row r="1389" spans="1:15" s="137" customFormat="1">
      <c r="A1389" s="337"/>
      <c r="B1389" s="337"/>
      <c r="C1389" s="1002" t="s">
        <v>1988</v>
      </c>
      <c r="D1389" s="1002"/>
      <c r="E1389" s="1002"/>
      <c r="F1389" s="1002"/>
      <c r="G1389" s="343" t="s">
        <v>61</v>
      </c>
      <c r="H1389" s="443"/>
      <c r="I1389" s="340"/>
      <c r="J1389" s="340"/>
      <c r="K1389" s="117">
        <v>0.95</v>
      </c>
      <c r="L1389" s="121">
        <v>16.77</v>
      </c>
      <c r="M1389" s="587"/>
      <c r="N1389" s="457">
        <f t="shared" si="52"/>
        <v>15.931499999999998</v>
      </c>
      <c r="O1389" s="119"/>
    </row>
    <row r="1390" spans="1:15" s="137" customFormat="1" ht="13.15" customHeight="1">
      <c r="A1390" s="337"/>
      <c r="B1390" s="337"/>
      <c r="C1390" s="1002" t="s">
        <v>1989</v>
      </c>
      <c r="D1390" s="1002"/>
      <c r="E1390" s="1002"/>
      <c r="F1390" s="1002"/>
      <c r="G1390" s="343" t="s">
        <v>61</v>
      </c>
      <c r="H1390" s="443"/>
      <c r="I1390" s="340"/>
      <c r="J1390" s="340"/>
      <c r="K1390" s="117">
        <v>1.1499999999999999</v>
      </c>
      <c r="L1390" s="121">
        <v>35.360799999999998</v>
      </c>
      <c r="M1390" s="587"/>
      <c r="N1390" s="457">
        <f t="shared" si="52"/>
        <v>40.664919999999995</v>
      </c>
      <c r="O1390" s="119"/>
    </row>
    <row r="1391" spans="1:15" s="137" customFormat="1" ht="13.15" customHeight="1">
      <c r="A1391" s="337"/>
      <c r="B1391" s="337"/>
      <c r="C1391" s="1002" t="s">
        <v>1990</v>
      </c>
      <c r="D1391" s="1002"/>
      <c r="E1391" s="1002"/>
      <c r="F1391" s="1002"/>
      <c r="G1391" s="343" t="s">
        <v>61</v>
      </c>
      <c r="H1391" s="443"/>
      <c r="I1391" s="340"/>
      <c r="J1391" s="340"/>
      <c r="K1391" s="117">
        <v>1.75</v>
      </c>
      <c r="L1391" s="121">
        <v>18.835000000000001</v>
      </c>
      <c r="M1391" s="587"/>
      <c r="N1391" s="457">
        <f t="shared" ref="N1391" si="53">(L1391*K1391)-M1391</f>
        <v>32.96125</v>
      </c>
      <c r="O1391" s="119"/>
    </row>
    <row r="1392" spans="1:15" s="138" customFormat="1" ht="13.15" customHeight="1">
      <c r="A1392" s="342"/>
      <c r="B1392" s="342"/>
      <c r="C1392" s="1002" t="s">
        <v>1991</v>
      </c>
      <c r="D1392" s="1002"/>
      <c r="E1392" s="1002"/>
      <c r="F1392" s="1002"/>
      <c r="G1392" s="343" t="s">
        <v>61</v>
      </c>
      <c r="H1392" s="443"/>
      <c r="I1392" s="582"/>
      <c r="J1392" s="582"/>
      <c r="K1392" s="583">
        <v>0.65</v>
      </c>
      <c r="L1392" s="583">
        <v>59.393099999999997</v>
      </c>
      <c r="M1392" s="587"/>
      <c r="N1392" s="457">
        <f>L1392*K1392</f>
        <v>38.605514999999997</v>
      </c>
      <c r="O1392" s="592"/>
    </row>
    <row r="1393" spans="1:15" s="138" customFormat="1" ht="13.15" customHeight="1">
      <c r="A1393" s="342"/>
      <c r="B1393" s="342"/>
      <c r="C1393" s="1002" t="s">
        <v>1992</v>
      </c>
      <c r="D1393" s="1002"/>
      <c r="E1393" s="1002"/>
      <c r="F1393" s="1002"/>
      <c r="G1393" s="343" t="s">
        <v>61</v>
      </c>
      <c r="H1393" s="443"/>
      <c r="I1393" s="582"/>
      <c r="J1393" s="582"/>
      <c r="K1393" s="583">
        <v>1.95</v>
      </c>
      <c r="L1393" s="583">
        <f>34.5197</f>
        <v>34.5197</v>
      </c>
      <c r="M1393" s="587"/>
      <c r="N1393" s="457">
        <f>L1393*K1393</f>
        <v>67.313414999999992</v>
      </c>
      <c r="O1393" s="592"/>
    </row>
    <row r="1394" spans="1:15" s="138" customFormat="1">
      <c r="A1394" s="342"/>
      <c r="B1394" s="342"/>
      <c r="C1394" s="1002" t="s">
        <v>1993</v>
      </c>
      <c r="D1394" s="1002"/>
      <c r="E1394" s="1002"/>
      <c r="F1394" s="1002"/>
      <c r="G1394" s="343" t="s">
        <v>61</v>
      </c>
      <c r="H1394" s="443"/>
      <c r="I1394" s="582"/>
      <c r="J1394" s="582"/>
      <c r="K1394" s="583">
        <v>0.95</v>
      </c>
      <c r="L1394" s="583">
        <f>(30.8+84.118+10.755)</f>
        <v>125.67299999999999</v>
      </c>
      <c r="M1394" s="587"/>
      <c r="N1394" s="457">
        <f t="shared" ref="N1394:N1395" si="54">(L1394*K1394)-M1394</f>
        <v>119.38934999999998</v>
      </c>
      <c r="O1394" s="592"/>
    </row>
    <row r="1395" spans="1:15" s="138" customFormat="1">
      <c r="A1395" s="342"/>
      <c r="B1395" s="342"/>
      <c r="C1395" s="1044" t="s">
        <v>1994</v>
      </c>
      <c r="D1395" s="1044"/>
      <c r="E1395" s="1044"/>
      <c r="F1395" s="1044"/>
      <c r="G1395" s="343" t="s">
        <v>61</v>
      </c>
      <c r="H1395" s="443"/>
      <c r="I1395" s="582"/>
      <c r="J1395" s="582"/>
      <c r="K1395" s="583">
        <v>2.4500000000000002</v>
      </c>
      <c r="L1395" s="583">
        <f>(11.4+11)</f>
        <v>22.4</v>
      </c>
      <c r="M1395" s="587"/>
      <c r="N1395" s="457">
        <f t="shared" si="54"/>
        <v>54.88</v>
      </c>
      <c r="O1395" s="592"/>
    </row>
    <row r="1396" spans="1:15" ht="12.75" customHeight="1">
      <c r="A1396" s="373" t="s">
        <v>11</v>
      </c>
      <c r="B1396" s="374" t="s">
        <v>13</v>
      </c>
      <c r="C1396" s="1046" t="s">
        <v>1443</v>
      </c>
      <c r="D1396" s="1046"/>
      <c r="E1396" s="1046"/>
      <c r="F1396" s="1046"/>
      <c r="G1396" s="375" t="s">
        <v>15</v>
      </c>
      <c r="H1396" s="375" t="s">
        <v>1444</v>
      </c>
      <c r="I1396" s="375" t="s">
        <v>1445</v>
      </c>
      <c r="J1396" s="375" t="s">
        <v>1446</v>
      </c>
      <c r="K1396" s="375" t="s">
        <v>1447</v>
      </c>
      <c r="L1396" s="375" t="s">
        <v>1448</v>
      </c>
      <c r="M1396" s="375" t="s">
        <v>1457</v>
      </c>
      <c r="N1396" s="375" t="s">
        <v>1450</v>
      </c>
      <c r="O1396" s="375" t="s">
        <v>1451</v>
      </c>
    </row>
    <row r="1397" spans="1:15" ht="62.25" customHeight="1">
      <c r="A1397" s="377">
        <f>ORÇAMENTO!A163</f>
        <v>87777</v>
      </c>
      <c r="B1397" s="377" t="str">
        <f>ORÇAMENTO!C163</f>
        <v>10.01.02</v>
      </c>
      <c r="C1397" s="1047" t="str">
        <f>ORÇAMENTO!D163</f>
        <v>EMBOÇO OU MASSA ÚNICA EM ARGAMASSA TRAÇO 1:2:8, PREPARO MANUAL, APLICA DA MANUALMENTE EM PANOS DE FACHADA COM PRESENÇA DE VÃOS, ESPESSURA DE 25 MM. AF_08/2022</v>
      </c>
      <c r="D1397" s="1047"/>
      <c r="E1397" s="1047"/>
      <c r="F1397" s="1047"/>
      <c r="G1397" s="425" t="str">
        <f>ORÇAMENTO!E163</f>
        <v>M²</v>
      </c>
      <c r="H1397" s="383"/>
      <c r="I1397" s="380"/>
      <c r="J1397" s="380"/>
      <c r="K1397" s="455"/>
      <c r="L1397" s="455"/>
      <c r="M1397" s="455"/>
      <c r="N1397" s="456">
        <f>SUM(N1398:N1414)</f>
        <v>1251.5143449999998</v>
      </c>
      <c r="O1397" s="456"/>
    </row>
    <row r="1398" spans="1:15" s="139" customFormat="1" ht="15">
      <c r="A1398" s="337"/>
      <c r="B1398" s="337"/>
      <c r="C1398" s="1001" t="s">
        <v>1813</v>
      </c>
      <c r="D1398" s="1035"/>
      <c r="E1398" s="1035"/>
      <c r="F1398" s="1036"/>
      <c r="G1398" s="343" t="s">
        <v>61</v>
      </c>
      <c r="H1398" s="443"/>
      <c r="I1398" s="340"/>
      <c r="J1398" s="340"/>
      <c r="K1398" s="382">
        <v>6.35</v>
      </c>
      <c r="L1398" s="457">
        <v>152.0643</v>
      </c>
      <c r="M1398" s="587">
        <f>12*(1.46*1.5)+(1*0.5)*7+(2.4*4)+(3.05*4)+(2.4*1.8)*2+6*(2*0.5)+(1.6*2.1)+(0.8*2.1)+(1*0.5)+4*(2.6*0.5)+(1.94+3.61+1.63)*2.8+(2.2+9.6)*4</f>
        <v>144.26400000000001</v>
      </c>
      <c r="N1398" s="457">
        <f t="shared" ref="N1398:N1399" si="55">(L1398*K1398)-M1398</f>
        <v>821.34430499999996</v>
      </c>
      <c r="O1398" s="457"/>
    </row>
    <row r="1399" spans="1:15" s="139" customFormat="1" ht="15">
      <c r="A1399" s="337"/>
      <c r="B1399" s="337"/>
      <c r="C1399" s="1001" t="s">
        <v>1814</v>
      </c>
      <c r="D1399" s="1001"/>
      <c r="E1399" s="1001"/>
      <c r="F1399" s="1001"/>
      <c r="G1399" s="389" t="s">
        <v>61</v>
      </c>
      <c r="H1399" s="443"/>
      <c r="I1399" s="340"/>
      <c r="J1399" s="340"/>
      <c r="K1399" s="382">
        <v>2.8</v>
      </c>
      <c r="L1399" s="459">
        <v>12.44</v>
      </c>
      <c r="M1399" s="453">
        <f>(0.8*2.1)*2+(2.1*1.2)+(1.8*2.4)</f>
        <v>10.200000000000001</v>
      </c>
      <c r="N1399" s="457">
        <f t="shared" si="55"/>
        <v>24.631999999999991</v>
      </c>
      <c r="O1399" s="457"/>
    </row>
    <row r="1400" spans="1:15" s="127" customFormat="1">
      <c r="A1400" s="337"/>
      <c r="B1400" s="460"/>
      <c r="C1400" s="1001" t="s">
        <v>1815</v>
      </c>
      <c r="D1400" s="1001"/>
      <c r="E1400" s="1001"/>
      <c r="F1400" s="1001"/>
      <c r="G1400" s="389" t="s">
        <v>61</v>
      </c>
      <c r="H1400" s="443"/>
      <c r="I1400" s="340"/>
      <c r="J1400" s="340"/>
      <c r="K1400" s="382">
        <v>2.8</v>
      </c>
      <c r="L1400" s="459">
        <v>13.6</v>
      </c>
      <c r="M1400" s="453">
        <f>(2.1*0.8)+(1.2*2.1)+(1.46*1.5)+(2*0.5)</f>
        <v>7.3900000000000006</v>
      </c>
      <c r="N1400" s="457">
        <f t="shared" ref="N1400:N1412" si="56">(L1400*K1400)-M1400</f>
        <v>30.689999999999998</v>
      </c>
      <c r="O1400" s="458"/>
    </row>
    <row r="1401" spans="1:15" s="127" customFormat="1" ht="17.25" customHeight="1">
      <c r="A1401" s="337"/>
      <c r="B1401" s="337"/>
      <c r="C1401" s="1001" t="s">
        <v>1816</v>
      </c>
      <c r="D1401" s="1001"/>
      <c r="E1401" s="1001"/>
      <c r="F1401" s="1001"/>
      <c r="G1401" s="343" t="s">
        <v>61</v>
      </c>
      <c r="H1401" s="443"/>
      <c r="I1401" s="340"/>
      <c r="J1401" s="340"/>
      <c r="K1401" s="382">
        <v>2.8</v>
      </c>
      <c r="L1401" s="459">
        <v>10.47</v>
      </c>
      <c r="M1401" s="123">
        <f>(2*0.5)+(0.8*2.1)</f>
        <v>2.68</v>
      </c>
      <c r="N1401" s="457">
        <f t="shared" si="56"/>
        <v>26.635999999999999</v>
      </c>
      <c r="O1401" s="458"/>
    </row>
    <row r="1402" spans="1:15" s="127" customFormat="1">
      <c r="A1402" s="337"/>
      <c r="B1402" s="337"/>
      <c r="C1402" s="1001" t="s">
        <v>1817</v>
      </c>
      <c r="D1402" s="1001"/>
      <c r="E1402" s="1001"/>
      <c r="F1402" s="1001"/>
      <c r="G1402" s="343" t="s">
        <v>61</v>
      </c>
      <c r="H1402" s="443"/>
      <c r="I1402" s="340"/>
      <c r="J1402" s="340"/>
      <c r="K1402" s="382">
        <v>2.8</v>
      </c>
      <c r="L1402" s="459">
        <v>10.435</v>
      </c>
      <c r="M1402" s="123">
        <f>(2*0.5)+(0.8*2.1)</f>
        <v>2.68</v>
      </c>
      <c r="N1402" s="457">
        <f t="shared" si="56"/>
        <v>26.538</v>
      </c>
      <c r="O1402" s="458"/>
    </row>
    <row r="1403" spans="1:15" s="127" customFormat="1">
      <c r="A1403" s="337"/>
      <c r="B1403" s="337"/>
      <c r="C1403" s="1001" t="s">
        <v>1819</v>
      </c>
      <c r="D1403" s="1001"/>
      <c r="E1403" s="1001"/>
      <c r="F1403" s="1001"/>
      <c r="G1403" s="343" t="s">
        <v>61</v>
      </c>
      <c r="H1403" s="443"/>
      <c r="I1403" s="340"/>
      <c r="J1403" s="340"/>
      <c r="K1403" s="382">
        <v>2.8</v>
      </c>
      <c r="L1403" s="459">
        <v>7.8</v>
      </c>
      <c r="M1403" s="123">
        <f>1*0.5+(0.7*2.1)</f>
        <v>1.97</v>
      </c>
      <c r="N1403" s="457">
        <f t="shared" si="56"/>
        <v>19.87</v>
      </c>
      <c r="O1403" s="458"/>
    </row>
    <row r="1404" spans="1:15" s="127" customFormat="1" ht="15" customHeight="1">
      <c r="A1404" s="337"/>
      <c r="B1404" s="337"/>
      <c r="C1404" s="1001" t="s">
        <v>1979</v>
      </c>
      <c r="D1404" s="1001"/>
      <c r="E1404" s="1001"/>
      <c r="F1404" s="1001"/>
      <c r="G1404" s="343" t="s">
        <v>61</v>
      </c>
      <c r="H1404" s="443"/>
      <c r="I1404" s="340"/>
      <c r="J1404" s="340"/>
      <c r="K1404" s="382">
        <v>2.8</v>
      </c>
      <c r="L1404" s="459">
        <v>6.4</v>
      </c>
      <c r="M1404" s="309">
        <f>(0.7*2.1)+(1*0.5)</f>
        <v>1.97</v>
      </c>
      <c r="N1404" s="457">
        <f t="shared" si="56"/>
        <v>15.949999999999998</v>
      </c>
      <c r="O1404" s="458"/>
    </row>
    <row r="1405" spans="1:15" s="127" customFormat="1">
      <c r="A1405" s="337"/>
      <c r="B1405" s="337"/>
      <c r="C1405" s="1001" t="s">
        <v>1826</v>
      </c>
      <c r="D1405" s="1001"/>
      <c r="E1405" s="1001"/>
      <c r="F1405" s="1001"/>
      <c r="G1405" s="343" t="s">
        <v>61</v>
      </c>
      <c r="H1405" s="443"/>
      <c r="I1405" s="340"/>
      <c r="J1405" s="340"/>
      <c r="K1405" s="340">
        <v>3.15</v>
      </c>
      <c r="L1405" s="459">
        <v>9.1999999999999993</v>
      </c>
      <c r="M1405" s="309">
        <f>(1*0.4)+(0.94*1)+(0.8*2.1)</f>
        <v>3.02</v>
      </c>
      <c r="N1405" s="457">
        <f t="shared" si="56"/>
        <v>25.959999999999997</v>
      </c>
      <c r="O1405" s="458"/>
    </row>
    <row r="1406" spans="1:15" s="127" customFormat="1">
      <c r="A1406" s="337"/>
      <c r="B1406" s="337"/>
      <c r="C1406" s="1001" t="s">
        <v>1983</v>
      </c>
      <c r="D1406" s="1001"/>
      <c r="E1406" s="1001"/>
      <c r="F1406" s="1001"/>
      <c r="G1406" s="343" t="s">
        <v>61</v>
      </c>
      <c r="H1406" s="443"/>
      <c r="I1406" s="340"/>
      <c r="J1406" s="458"/>
      <c r="K1406" s="382">
        <v>2.8</v>
      </c>
      <c r="L1406" s="458">
        <v>7.2</v>
      </c>
      <c r="M1406" s="309">
        <f>0.8*2.1</f>
        <v>1.6800000000000002</v>
      </c>
      <c r="N1406" s="457">
        <f t="shared" si="56"/>
        <v>18.48</v>
      </c>
      <c r="O1406" s="458"/>
    </row>
    <row r="1407" spans="1:15" s="127" customFormat="1">
      <c r="A1407" s="337"/>
      <c r="B1407" s="337"/>
      <c r="C1407" s="1001" t="s">
        <v>1984</v>
      </c>
      <c r="D1407" s="1001"/>
      <c r="E1407" s="1001"/>
      <c r="F1407" s="1001"/>
      <c r="G1407" s="343" t="s">
        <v>61</v>
      </c>
      <c r="H1407" s="443"/>
      <c r="I1407" s="340"/>
      <c r="J1407" s="340"/>
      <c r="K1407" s="382">
        <v>2.8</v>
      </c>
      <c r="L1407" s="457">
        <v>7.2</v>
      </c>
      <c r="M1407" s="309">
        <f>0.8*2.1</f>
        <v>1.6800000000000002</v>
      </c>
      <c r="N1407" s="457">
        <f t="shared" si="56"/>
        <v>18.48</v>
      </c>
      <c r="O1407" s="458"/>
    </row>
    <row r="1408" spans="1:15" s="127" customFormat="1">
      <c r="A1408" s="337"/>
      <c r="B1408" s="337"/>
      <c r="C1408" s="1001" t="s">
        <v>1832</v>
      </c>
      <c r="D1408" s="1001"/>
      <c r="E1408" s="1001"/>
      <c r="F1408" s="1001"/>
      <c r="G1408" s="343" t="s">
        <v>61</v>
      </c>
      <c r="H1408" s="443"/>
      <c r="I1408" s="340"/>
      <c r="J1408" s="340"/>
      <c r="K1408" s="382">
        <v>2.8</v>
      </c>
      <c r="L1408" s="457">
        <v>5.8</v>
      </c>
      <c r="M1408" s="309">
        <f>(0.7*2.1)+(1*0.5)</f>
        <v>1.97</v>
      </c>
      <c r="N1408" s="457">
        <f t="shared" si="56"/>
        <v>14.269999999999998</v>
      </c>
      <c r="O1408" s="458"/>
    </row>
    <row r="1409" spans="1:18" s="129" customFormat="1" ht="17.25" customHeight="1">
      <c r="A1409" s="337"/>
      <c r="B1409" s="337"/>
      <c r="C1409" s="1001" t="s">
        <v>1833</v>
      </c>
      <c r="D1409" s="1001"/>
      <c r="E1409" s="1001"/>
      <c r="F1409" s="1001"/>
      <c r="G1409" s="343" t="s">
        <v>61</v>
      </c>
      <c r="H1409" s="443"/>
      <c r="I1409" s="340"/>
      <c r="J1409" s="340"/>
      <c r="K1409" s="382">
        <v>2.8</v>
      </c>
      <c r="L1409" s="457">
        <v>5.8</v>
      </c>
      <c r="M1409" s="309">
        <f>(0.7*2.1)+(1*0.5)</f>
        <v>1.97</v>
      </c>
      <c r="N1409" s="457">
        <f t="shared" si="56"/>
        <v>14.269999999999998</v>
      </c>
      <c r="O1409" s="458"/>
    </row>
    <row r="1410" spans="1:18" s="139" customFormat="1" ht="16.5" customHeight="1">
      <c r="A1410" s="337"/>
      <c r="B1410" s="337"/>
      <c r="C1410" s="1001" t="s">
        <v>1982</v>
      </c>
      <c r="D1410" s="1001"/>
      <c r="E1410" s="1001"/>
      <c r="F1410" s="1001"/>
      <c r="G1410" s="343" t="s">
        <v>61</v>
      </c>
      <c r="H1410" s="340"/>
      <c r="I1410" s="340"/>
      <c r="J1410" s="119"/>
      <c r="K1410" s="119">
        <v>1.8</v>
      </c>
      <c r="L1410" s="119">
        <v>37.482799999999997</v>
      </c>
      <c r="M1410" s="119">
        <f>2*(0.7*1.8)+2*(0.8*1.8)+(1.8*1.7)</f>
        <v>8.4600000000000009</v>
      </c>
      <c r="N1410" s="457">
        <f t="shared" si="56"/>
        <v>59.009039999999992</v>
      </c>
      <c r="O1410" s="457"/>
    </row>
    <row r="1411" spans="1:18" s="139" customFormat="1" ht="15">
      <c r="A1411" s="337"/>
      <c r="B1411" s="337"/>
      <c r="C1411" s="1001" t="s">
        <v>1841</v>
      </c>
      <c r="D1411" s="1001"/>
      <c r="E1411" s="1001"/>
      <c r="F1411" s="1001"/>
      <c r="G1411" s="343" t="s">
        <v>61</v>
      </c>
      <c r="H1411" s="443"/>
      <c r="I1411" s="340"/>
      <c r="J1411" s="340"/>
      <c r="K1411" s="340">
        <v>1.8</v>
      </c>
      <c r="L1411" s="382">
        <v>66.2</v>
      </c>
      <c r="M1411" s="382">
        <f>(2.75*2.5)+(1.8*1.5)+(0.8*1.8)*8+(0.8*1.8)+(1.91*1.5)*2</f>
        <v>28.265000000000001</v>
      </c>
      <c r="N1411" s="457">
        <f t="shared" si="56"/>
        <v>90.89500000000001</v>
      </c>
      <c r="O1411" s="457"/>
    </row>
    <row r="1412" spans="1:18" s="139" customFormat="1" ht="15.75" customHeight="1">
      <c r="A1412" s="337"/>
      <c r="B1412" s="337"/>
      <c r="C1412" s="1001" t="s">
        <v>1978</v>
      </c>
      <c r="D1412" s="1001"/>
      <c r="E1412" s="1001"/>
      <c r="F1412" s="1001"/>
      <c r="G1412" s="343" t="s">
        <v>61</v>
      </c>
      <c r="H1412" s="443"/>
      <c r="I1412" s="340"/>
      <c r="J1412" s="340"/>
      <c r="K1412" s="382">
        <v>2.8</v>
      </c>
      <c r="L1412" s="382">
        <v>5.8</v>
      </c>
      <c r="M1412" s="382">
        <f>(0.7*2.1)+(1*0.5)</f>
        <v>1.97</v>
      </c>
      <c r="N1412" s="457">
        <f t="shared" si="56"/>
        <v>14.269999999999998</v>
      </c>
      <c r="O1412" s="457"/>
    </row>
    <row r="1413" spans="1:18" s="139" customFormat="1" ht="15">
      <c r="A1413" s="337"/>
      <c r="B1413" s="337"/>
      <c r="C1413" s="1001" t="s">
        <v>1840</v>
      </c>
      <c r="D1413" s="1001"/>
      <c r="E1413" s="1001"/>
      <c r="F1413" s="1001"/>
      <c r="G1413" s="343" t="s">
        <v>61</v>
      </c>
      <c r="H1413" s="443"/>
      <c r="I1413" s="340"/>
      <c r="J1413" s="340"/>
      <c r="K1413" s="382">
        <v>2.8</v>
      </c>
      <c r="L1413" s="382">
        <v>5.8</v>
      </c>
      <c r="M1413" s="382">
        <f>(0.7*2.1)+(1*0.5)</f>
        <v>1.97</v>
      </c>
      <c r="N1413" s="457">
        <f t="shared" ref="N1413:N1414" si="57">(L1413*K1413)-M1413</f>
        <v>14.269999999999998</v>
      </c>
      <c r="O1413" s="457"/>
    </row>
    <row r="1414" spans="1:18" s="129" customFormat="1" ht="13.5" customHeight="1">
      <c r="A1414" s="337"/>
      <c r="B1414" s="337"/>
      <c r="C1414" s="1001" t="s">
        <v>1823</v>
      </c>
      <c r="D1414" s="1001"/>
      <c r="E1414" s="1001"/>
      <c r="F1414" s="1001"/>
      <c r="G1414" s="343" t="s">
        <v>61</v>
      </c>
      <c r="H1414" s="443"/>
      <c r="I1414" s="340"/>
      <c r="J1414" s="340"/>
      <c r="K1414" s="340">
        <v>2.8</v>
      </c>
      <c r="L1414" s="382">
        <v>6.4</v>
      </c>
      <c r="M1414" s="382">
        <f>(0.7*2.1)+(1*0.5)</f>
        <v>1.97</v>
      </c>
      <c r="N1414" s="457">
        <f t="shared" si="57"/>
        <v>15.949999999999998</v>
      </c>
      <c r="O1414" s="458"/>
    </row>
    <row r="1415" spans="1:18" ht="12.75" customHeight="1">
      <c r="A1415" s="373" t="s">
        <v>11</v>
      </c>
      <c r="B1415" s="374" t="s">
        <v>13</v>
      </c>
      <c r="C1415" s="1046" t="s">
        <v>1443</v>
      </c>
      <c r="D1415" s="1046"/>
      <c r="E1415" s="1046"/>
      <c r="F1415" s="1046"/>
      <c r="G1415" s="375" t="s">
        <v>15</v>
      </c>
      <c r="H1415" s="375" t="s">
        <v>1444</v>
      </c>
      <c r="I1415" s="375" t="s">
        <v>1445</v>
      </c>
      <c r="J1415" s="375" t="s">
        <v>1446</v>
      </c>
      <c r="K1415" s="375" t="s">
        <v>1447</v>
      </c>
      <c r="L1415" s="375" t="s">
        <v>1448</v>
      </c>
      <c r="M1415" s="375" t="s">
        <v>1457</v>
      </c>
      <c r="N1415" s="375" t="s">
        <v>1450</v>
      </c>
      <c r="O1415" s="375" t="s">
        <v>1451</v>
      </c>
    </row>
    <row r="1416" spans="1:18" ht="65.25" customHeight="1">
      <c r="A1416" s="377">
        <f>ORÇAMENTO!A164</f>
        <v>87530</v>
      </c>
      <c r="B1416" s="377" t="str">
        <f>ORÇAMENTO!C164</f>
        <v>10.01.03</v>
      </c>
      <c r="C1416" s="1003" t="str">
        <f>ORÇAMENTO!D164</f>
        <v>MASSA ÚNICA, PARA RECEBIMENTO DE PINTURA, EM ARGAMASSA TRAÇO 1:2:8, PREPARO MANUAL, APLICADA MANUALMENTE EM FACES INTERNAS DE PAREDES, ESPES
SURA DE 20MM, COM EXECUÇÃO DE TALISCAS. AF_06/2014</v>
      </c>
      <c r="D1416" s="1003"/>
      <c r="E1416" s="1003"/>
      <c r="F1416" s="1003"/>
      <c r="G1416" s="425" t="str">
        <f>ORÇAMENTO!E164</f>
        <v>M²</v>
      </c>
      <c r="H1416" s="383"/>
      <c r="I1416" s="380"/>
      <c r="J1416" s="380"/>
      <c r="K1416" s="455"/>
      <c r="L1416" s="455"/>
      <c r="M1416" s="455"/>
      <c r="N1416" s="456">
        <f>SUM(N1417:N1467)</f>
        <v>3618.9312050000008</v>
      </c>
      <c r="O1416" s="456"/>
    </row>
    <row r="1417" spans="1:18" s="127" customFormat="1">
      <c r="A1417" s="337"/>
      <c r="B1417" s="337"/>
      <c r="C1417" s="1005" t="s">
        <v>1976</v>
      </c>
      <c r="D1417" s="1005"/>
      <c r="E1417" s="1005"/>
      <c r="F1417" s="1005"/>
      <c r="G1417" s="338"/>
      <c r="H1417" s="443"/>
      <c r="I1417" s="340"/>
      <c r="J1417" s="340"/>
      <c r="K1417" s="340"/>
      <c r="L1417" s="382"/>
      <c r="M1417" s="382"/>
      <c r="N1417" s="457"/>
      <c r="O1417" s="458"/>
    </row>
    <row r="1418" spans="1:18" s="127" customFormat="1">
      <c r="A1418" s="337"/>
      <c r="B1418" s="337"/>
      <c r="C1418" s="1001" t="s">
        <v>1836</v>
      </c>
      <c r="D1418" s="1001"/>
      <c r="E1418" s="1001"/>
      <c r="F1418" s="1001"/>
      <c r="G1418" s="343" t="s">
        <v>61</v>
      </c>
      <c r="H1418" s="443"/>
      <c r="I1418" s="340"/>
      <c r="J1418" s="340"/>
      <c r="K1418" s="340">
        <v>3.15</v>
      </c>
      <c r="L1418" s="382">
        <v>16.600000000000001</v>
      </c>
      <c r="M1418" s="382">
        <f>(0.8*2.1)+(1.46*1.5)+(1.8*1.5)</f>
        <v>6.57</v>
      </c>
      <c r="N1418" s="457">
        <f>(L1418*K1418)-M1418</f>
        <v>45.720000000000006</v>
      </c>
      <c r="O1418" s="611"/>
      <c r="P1418" s="109"/>
      <c r="Q1418" s="109"/>
      <c r="R1418" s="109"/>
    </row>
    <row r="1419" spans="1:18" s="127" customFormat="1">
      <c r="A1419" s="337"/>
      <c r="B1419" s="337"/>
      <c r="C1419" s="1001" t="s">
        <v>1837</v>
      </c>
      <c r="D1419" s="1001"/>
      <c r="E1419" s="1001"/>
      <c r="F1419" s="1001"/>
      <c r="G1419" s="343" t="s">
        <v>61</v>
      </c>
      <c r="H1419" s="443"/>
      <c r="I1419" s="340"/>
      <c r="J1419" s="340"/>
      <c r="K1419" s="340">
        <v>3.15</v>
      </c>
      <c r="L1419" s="382">
        <v>15.3</v>
      </c>
      <c r="M1419" s="382">
        <f>(1.46*1.5)+(0.8*2.13)</f>
        <v>3.8940000000000001</v>
      </c>
      <c r="N1419" s="457">
        <f t="shared" ref="N1419:N1457" si="58">(L1419*K1419)-M1419</f>
        <v>44.301000000000002</v>
      </c>
      <c r="O1419" s="119"/>
      <c r="P1419" s="109"/>
      <c r="Q1419" s="109"/>
      <c r="R1419" s="109"/>
    </row>
    <row r="1420" spans="1:18" s="127" customFormat="1">
      <c r="A1420" s="337"/>
      <c r="B1420" s="337"/>
      <c r="C1420" s="1001" t="s">
        <v>1977</v>
      </c>
      <c r="D1420" s="1001"/>
      <c r="E1420" s="1001"/>
      <c r="F1420" s="1001"/>
      <c r="G1420" s="343" t="s">
        <v>61</v>
      </c>
      <c r="H1420" s="443"/>
      <c r="I1420" s="340"/>
      <c r="J1420" s="340"/>
      <c r="K1420" s="340">
        <v>3.15</v>
      </c>
      <c r="L1420" s="382">
        <v>17</v>
      </c>
      <c r="M1420" s="382">
        <f>(1.46*1.5)+(0.8*2.1)+(0.7*2.1)</f>
        <v>5.34</v>
      </c>
      <c r="N1420" s="457">
        <f t="shared" si="58"/>
        <v>48.209999999999994</v>
      </c>
      <c r="O1420" s="119"/>
      <c r="P1420" s="109"/>
      <c r="Q1420" s="109"/>
      <c r="R1420" s="109"/>
    </row>
    <row r="1421" spans="1:18" s="127" customFormat="1">
      <c r="A1421" s="337"/>
      <c r="B1421" s="337"/>
      <c r="C1421" s="1001" t="s">
        <v>1978</v>
      </c>
      <c r="D1421" s="1001"/>
      <c r="E1421" s="1001"/>
      <c r="F1421" s="1001"/>
      <c r="G1421" s="343" t="s">
        <v>61</v>
      </c>
      <c r="H1421" s="443"/>
      <c r="I1421" s="340"/>
      <c r="J1421" s="340"/>
      <c r="K1421" s="340">
        <v>3.15</v>
      </c>
      <c r="L1421" s="382">
        <v>5.8</v>
      </c>
      <c r="M1421" s="382">
        <f>(0.7*2.1)+(1*0.5)</f>
        <v>1.97</v>
      </c>
      <c r="N1421" s="457">
        <f t="shared" si="58"/>
        <v>16.3</v>
      </c>
      <c r="O1421" s="119"/>
      <c r="P1421" s="109"/>
      <c r="Q1421" s="109"/>
      <c r="R1421" s="109"/>
    </row>
    <row r="1422" spans="1:18" s="127" customFormat="1">
      <c r="A1422" s="337"/>
      <c r="B1422" s="337"/>
      <c r="C1422" s="1001" t="s">
        <v>1839</v>
      </c>
      <c r="D1422" s="1001"/>
      <c r="E1422" s="1001"/>
      <c r="F1422" s="1001"/>
      <c r="G1422" s="343" t="s">
        <v>61</v>
      </c>
      <c r="H1422" s="443"/>
      <c r="I1422" s="340"/>
      <c r="J1422" s="340"/>
      <c r="K1422" s="340">
        <v>3.15</v>
      </c>
      <c r="L1422" s="382">
        <v>17.001100000000001</v>
      </c>
      <c r="M1422" s="382">
        <f>(1.46*1.5)+(0.8*2.1)+(0.7*2.1)</f>
        <v>5.34</v>
      </c>
      <c r="N1422" s="457">
        <f t="shared" si="58"/>
        <v>48.213464999999999</v>
      </c>
      <c r="O1422" s="119"/>
      <c r="P1422" s="109"/>
      <c r="Q1422" s="109"/>
      <c r="R1422" s="109"/>
    </row>
    <row r="1423" spans="1:18" s="127" customFormat="1">
      <c r="A1423" s="337"/>
      <c r="B1423" s="337"/>
      <c r="C1423" s="1001" t="s">
        <v>1840</v>
      </c>
      <c r="D1423" s="1001"/>
      <c r="E1423" s="1001"/>
      <c r="F1423" s="1001"/>
      <c r="G1423" s="343" t="s">
        <v>61</v>
      </c>
      <c r="H1423" s="443"/>
      <c r="I1423" s="340"/>
      <c r="J1423" s="340"/>
      <c r="K1423" s="340">
        <v>3.15</v>
      </c>
      <c r="L1423" s="382">
        <v>5.8</v>
      </c>
      <c r="M1423" s="382">
        <f>(0.7*2.1)+(1*0.5)</f>
        <v>1.97</v>
      </c>
      <c r="N1423" s="457">
        <f t="shared" si="58"/>
        <v>16.3</v>
      </c>
      <c r="O1423" s="119"/>
      <c r="P1423" s="109"/>
      <c r="Q1423" s="109"/>
      <c r="R1423" s="109"/>
    </row>
    <row r="1424" spans="1:18" s="127" customFormat="1">
      <c r="A1424" s="337"/>
      <c r="B1424" s="337"/>
      <c r="C1424" s="1001" t="s">
        <v>1841</v>
      </c>
      <c r="D1424" s="1001"/>
      <c r="E1424" s="1001"/>
      <c r="F1424" s="1001"/>
      <c r="G1424" s="343" t="s">
        <v>61</v>
      </c>
      <c r="H1424" s="443"/>
      <c r="I1424" s="340"/>
      <c r="J1424" s="340"/>
      <c r="K1424" s="340">
        <v>4.45</v>
      </c>
      <c r="L1424" s="382">
        <v>66.2</v>
      </c>
      <c r="M1424" s="382">
        <f>(2.75*2.5)+(9.6*4)+(2.4*4)+(1.8*1.5)+(0.8*2.1)*8+(0.8*2.13)+(3.05*4)+(1.91*1.5)*2</f>
        <v>90.649000000000001</v>
      </c>
      <c r="N1424" s="457">
        <f t="shared" si="58"/>
        <v>203.94100000000003</v>
      </c>
      <c r="O1424" s="119"/>
      <c r="P1424" s="109"/>
      <c r="Q1424" s="109"/>
      <c r="R1424" s="109"/>
    </row>
    <row r="1425" spans="1:18" s="127" customFormat="1">
      <c r="A1425" s="337"/>
      <c r="B1425" s="337"/>
      <c r="C1425" s="1001" t="s">
        <v>1825</v>
      </c>
      <c r="D1425" s="1001"/>
      <c r="E1425" s="1001"/>
      <c r="F1425" s="1001"/>
      <c r="G1425" s="343" t="s">
        <v>61</v>
      </c>
      <c r="H1425" s="443"/>
      <c r="I1425" s="340"/>
      <c r="J1425" s="340"/>
      <c r="K1425" s="340">
        <v>3.15</v>
      </c>
      <c r="L1425" s="382">
        <v>19.7</v>
      </c>
      <c r="M1425" s="382">
        <f>2*(0.8*2.1)+(1.46*1.5)</f>
        <v>5.5500000000000007</v>
      </c>
      <c r="N1425" s="457">
        <f t="shared" si="58"/>
        <v>56.504999999999995</v>
      </c>
      <c r="O1425" s="119"/>
      <c r="P1425" s="109"/>
      <c r="Q1425" s="109"/>
      <c r="R1425" s="109"/>
    </row>
    <row r="1426" spans="1:18" s="127" customFormat="1">
      <c r="A1426" s="337"/>
      <c r="B1426" s="337"/>
      <c r="C1426" s="1001" t="s">
        <v>1824</v>
      </c>
      <c r="D1426" s="1001"/>
      <c r="E1426" s="1001"/>
      <c r="F1426" s="1001"/>
      <c r="G1426" s="343" t="s">
        <v>61</v>
      </c>
      <c r="H1426" s="443"/>
      <c r="I1426" s="340"/>
      <c r="J1426" s="340"/>
      <c r="K1426" s="340">
        <v>3.15</v>
      </c>
      <c r="L1426" s="382">
        <v>17.64</v>
      </c>
      <c r="M1426" s="382">
        <f>2*(1.46*1.5)+(0.8*2.1)</f>
        <v>6.0600000000000005</v>
      </c>
      <c r="N1426" s="457">
        <f t="shared" si="58"/>
        <v>49.506</v>
      </c>
      <c r="O1426" s="119"/>
      <c r="P1426" s="109"/>
      <c r="Q1426" s="109"/>
      <c r="R1426" s="109">
        <f>L1424*1.8</f>
        <v>119.16000000000001</v>
      </c>
    </row>
    <row r="1427" spans="1:18" s="127" customFormat="1">
      <c r="A1427" s="337"/>
      <c r="B1427" s="337"/>
      <c r="C1427" s="1001" t="s">
        <v>1830</v>
      </c>
      <c r="D1427" s="1001"/>
      <c r="E1427" s="1001"/>
      <c r="F1427" s="1001"/>
      <c r="G1427" s="343" t="s">
        <v>61</v>
      </c>
      <c r="H1427" s="443"/>
      <c r="I1427" s="340"/>
      <c r="J1427" s="340"/>
      <c r="K1427" s="340">
        <v>3.15</v>
      </c>
      <c r="L1427" s="382">
        <v>20.58</v>
      </c>
      <c r="M1427" s="382">
        <f>6*(0.8*2.1)</f>
        <v>10.080000000000002</v>
      </c>
      <c r="N1427" s="457">
        <f t="shared" si="58"/>
        <v>54.747</v>
      </c>
      <c r="O1427" s="119"/>
      <c r="P1427" s="109"/>
      <c r="Q1427" s="109"/>
      <c r="R1427" s="109">
        <f>R1426+751</f>
        <v>870.16</v>
      </c>
    </row>
    <row r="1428" spans="1:18" s="127" customFormat="1">
      <c r="A1428" s="337"/>
      <c r="B1428" s="337"/>
      <c r="C1428" s="1001" t="s">
        <v>1822</v>
      </c>
      <c r="D1428" s="1001"/>
      <c r="E1428" s="1001"/>
      <c r="F1428" s="1001"/>
      <c r="G1428" s="343" t="s">
        <v>61</v>
      </c>
      <c r="H1428" s="443"/>
      <c r="I1428" s="340"/>
      <c r="J1428" s="340"/>
      <c r="K1428" s="340">
        <v>3.15</v>
      </c>
      <c r="L1428" s="382">
        <v>20.677499999999998</v>
      </c>
      <c r="M1428" s="382">
        <f>2*(1.46*1.5)+(0.8*2.1)+(0.7*2.1)</f>
        <v>7.53</v>
      </c>
      <c r="N1428" s="457">
        <f t="shared" si="58"/>
        <v>57.604124999999996</v>
      </c>
      <c r="O1428" s="119"/>
      <c r="P1428" s="109"/>
      <c r="Q1428" s="109"/>
      <c r="R1428" s="109">
        <f>(7.504+3.4566)*7.25</f>
        <v>79.464349999999996</v>
      </c>
    </row>
    <row r="1429" spans="1:18" s="127" customFormat="1">
      <c r="A1429" s="337"/>
      <c r="B1429" s="337"/>
      <c r="C1429" s="1001" t="s">
        <v>1823</v>
      </c>
      <c r="D1429" s="1001"/>
      <c r="E1429" s="1001"/>
      <c r="F1429" s="1001"/>
      <c r="G1429" s="343" t="s">
        <v>61</v>
      </c>
      <c r="H1429" s="443"/>
      <c r="I1429" s="340"/>
      <c r="J1429" s="340"/>
      <c r="K1429" s="340">
        <v>3.15</v>
      </c>
      <c r="L1429" s="382">
        <v>6.4</v>
      </c>
      <c r="M1429" s="382">
        <f>(0.7*2.1)+(1*0.5)</f>
        <v>1.97</v>
      </c>
      <c r="N1429" s="457">
        <f t="shared" si="58"/>
        <v>18.190000000000001</v>
      </c>
      <c r="O1429" s="119"/>
      <c r="P1429" s="109"/>
      <c r="Q1429" s="109"/>
      <c r="R1429" s="109"/>
    </row>
    <row r="1430" spans="1:18" s="127" customFormat="1">
      <c r="A1430" s="337"/>
      <c r="B1430" s="337"/>
      <c r="C1430" s="1001" t="s">
        <v>1842</v>
      </c>
      <c r="D1430" s="1001"/>
      <c r="E1430" s="1001"/>
      <c r="F1430" s="1001"/>
      <c r="G1430" s="343" t="s">
        <v>61</v>
      </c>
      <c r="H1430" s="443"/>
      <c r="I1430" s="340"/>
      <c r="J1430" s="340"/>
      <c r="K1430" s="340">
        <v>3.15</v>
      </c>
      <c r="L1430" s="459">
        <v>27.7</v>
      </c>
      <c r="M1430" s="459">
        <f>(0.8*2.1)+(1*1)+(3.5*1.9)</f>
        <v>9.33</v>
      </c>
      <c r="N1430" s="457">
        <f t="shared" si="58"/>
        <v>77.924999999999997</v>
      </c>
      <c r="O1430" s="119"/>
      <c r="P1430" s="109"/>
      <c r="Q1430" s="109"/>
      <c r="R1430" s="109"/>
    </row>
    <row r="1431" spans="1:18" s="127" customFormat="1">
      <c r="A1431" s="337"/>
      <c r="B1431" s="337"/>
      <c r="C1431" s="1001" t="s">
        <v>1843</v>
      </c>
      <c r="D1431" s="1001"/>
      <c r="E1431" s="1001"/>
      <c r="F1431" s="1001"/>
      <c r="G1431" s="343" t="s">
        <v>61</v>
      </c>
      <c r="H1431" s="443"/>
      <c r="I1431" s="340"/>
      <c r="J1431" s="340"/>
      <c r="K1431" s="340">
        <v>3.15</v>
      </c>
      <c r="L1431" s="459">
        <v>8.92</v>
      </c>
      <c r="M1431" s="459">
        <f>2*(0.8*2.1)+(1*1)+(1.91*1.5)</f>
        <v>7.2249999999999996</v>
      </c>
      <c r="N1431" s="457">
        <f t="shared" si="58"/>
        <v>20.872999999999998</v>
      </c>
      <c r="O1431" s="119"/>
      <c r="P1431" s="109"/>
      <c r="Q1431" s="109"/>
      <c r="R1431" s="109"/>
    </row>
    <row r="1432" spans="1:18" s="127" customFormat="1">
      <c r="A1432" s="337"/>
      <c r="B1432" s="337"/>
      <c r="C1432" s="1001" t="s">
        <v>1814</v>
      </c>
      <c r="D1432" s="1001"/>
      <c r="E1432" s="1001"/>
      <c r="F1432" s="1001"/>
      <c r="G1432" s="343" t="s">
        <v>61</v>
      </c>
      <c r="H1432" s="443"/>
      <c r="I1432" s="340"/>
      <c r="J1432" s="340"/>
      <c r="K1432" s="340">
        <v>3.15</v>
      </c>
      <c r="L1432" s="459">
        <v>12.44</v>
      </c>
      <c r="M1432" s="459">
        <f>(0.8*2.1)*2+(2.1*1.2)+(1.8*2.4)</f>
        <v>10.200000000000001</v>
      </c>
      <c r="N1432" s="457">
        <f t="shared" si="58"/>
        <v>28.985999999999997</v>
      </c>
      <c r="O1432" s="119"/>
      <c r="P1432" s="109"/>
      <c r="Q1432" s="109"/>
      <c r="R1432" s="109"/>
    </row>
    <row r="1433" spans="1:18" s="127" customFormat="1">
      <c r="A1433" s="337"/>
      <c r="B1433" s="337"/>
      <c r="C1433" s="1001" t="s">
        <v>1815</v>
      </c>
      <c r="D1433" s="1001"/>
      <c r="E1433" s="1001"/>
      <c r="F1433" s="1001"/>
      <c r="G1433" s="343" t="s">
        <v>61</v>
      </c>
      <c r="H1433" s="443"/>
      <c r="I1433" s="340"/>
      <c r="J1433" s="340"/>
      <c r="K1433" s="340">
        <v>3.15</v>
      </c>
      <c r="L1433" s="459">
        <v>13.6</v>
      </c>
      <c r="M1433" s="459">
        <f>(2.1*0.8)+(1.2*2.1)+(1.46*1.5)+(2*0.5)</f>
        <v>7.3900000000000006</v>
      </c>
      <c r="N1433" s="457">
        <f t="shared" si="58"/>
        <v>35.449999999999996</v>
      </c>
      <c r="O1433" s="119"/>
      <c r="P1433" s="109"/>
      <c r="Q1433" s="109"/>
      <c r="R1433" s="109"/>
    </row>
    <row r="1434" spans="1:18" s="127" customFormat="1">
      <c r="A1434" s="337"/>
      <c r="B1434" s="337"/>
      <c r="C1434" s="1001" t="s">
        <v>1816</v>
      </c>
      <c r="D1434" s="1001"/>
      <c r="E1434" s="1001"/>
      <c r="F1434" s="1001"/>
      <c r="G1434" s="343" t="s">
        <v>61</v>
      </c>
      <c r="H1434" s="443"/>
      <c r="I1434" s="340"/>
      <c r="J1434" s="340"/>
      <c r="K1434" s="340">
        <v>3.15</v>
      </c>
      <c r="L1434" s="459">
        <v>10.47</v>
      </c>
      <c r="M1434" s="123">
        <f>(2*0.5)+(0.8*2.1)</f>
        <v>2.68</v>
      </c>
      <c r="N1434" s="457">
        <f t="shared" si="58"/>
        <v>30.3005</v>
      </c>
      <c r="O1434" s="119"/>
    </row>
    <row r="1435" spans="1:18" s="127" customFormat="1">
      <c r="A1435" s="337"/>
      <c r="B1435" s="337"/>
      <c r="C1435" s="1001" t="s">
        <v>1817</v>
      </c>
      <c r="D1435" s="1001"/>
      <c r="E1435" s="1001"/>
      <c r="F1435" s="1001"/>
      <c r="G1435" s="343" t="s">
        <v>61</v>
      </c>
      <c r="H1435" s="443"/>
      <c r="I1435" s="340"/>
      <c r="J1435" s="340"/>
      <c r="K1435" s="340">
        <v>3.15</v>
      </c>
      <c r="L1435" s="459">
        <v>10.435</v>
      </c>
      <c r="M1435" s="123">
        <f>(2*0.5)+(0.8*2.1)</f>
        <v>2.68</v>
      </c>
      <c r="N1435" s="457">
        <f t="shared" si="58"/>
        <v>30.190249999999999</v>
      </c>
      <c r="O1435" s="119"/>
    </row>
    <row r="1436" spans="1:18" s="127" customFormat="1">
      <c r="A1436" s="337"/>
      <c r="B1436" s="337"/>
      <c r="C1436" s="1001" t="s">
        <v>1818</v>
      </c>
      <c r="D1436" s="1001"/>
      <c r="E1436" s="1001"/>
      <c r="F1436" s="1001"/>
      <c r="G1436" s="343" t="s">
        <v>61</v>
      </c>
      <c r="H1436" s="443"/>
      <c r="I1436" s="340"/>
      <c r="J1436" s="340"/>
      <c r="K1436" s="340">
        <v>3.15</v>
      </c>
      <c r="L1436" s="459">
        <v>6.2</v>
      </c>
      <c r="M1436" s="123">
        <f>2*(0.7*2.1)</f>
        <v>2.94</v>
      </c>
      <c r="N1436" s="457">
        <f t="shared" si="58"/>
        <v>16.59</v>
      </c>
      <c r="O1436" s="119"/>
    </row>
    <row r="1437" spans="1:18" s="127" customFormat="1">
      <c r="A1437" s="337"/>
      <c r="B1437" s="337"/>
      <c r="C1437" s="1001" t="s">
        <v>1819</v>
      </c>
      <c r="D1437" s="1001"/>
      <c r="E1437" s="1001"/>
      <c r="F1437" s="1001"/>
      <c r="G1437" s="343" t="s">
        <v>61</v>
      </c>
      <c r="H1437" s="443"/>
      <c r="I1437" s="340"/>
      <c r="J1437" s="340"/>
      <c r="K1437" s="340">
        <v>3.15</v>
      </c>
      <c r="L1437" s="459">
        <v>7.8</v>
      </c>
      <c r="M1437" s="123">
        <f>1*0.5+(0.7*2.1)</f>
        <v>1.97</v>
      </c>
      <c r="N1437" s="457">
        <f t="shared" si="58"/>
        <v>22.6</v>
      </c>
      <c r="O1437" s="119"/>
    </row>
    <row r="1438" spans="1:18" s="127" customFormat="1">
      <c r="A1438" s="337"/>
      <c r="B1438" s="337"/>
      <c r="C1438" s="1001" t="s">
        <v>1820</v>
      </c>
      <c r="D1438" s="1001"/>
      <c r="E1438" s="1001"/>
      <c r="F1438" s="1001"/>
      <c r="G1438" s="343" t="s">
        <v>61</v>
      </c>
      <c r="H1438" s="443"/>
      <c r="I1438" s="340"/>
      <c r="J1438" s="340"/>
      <c r="K1438" s="340">
        <v>3.15</v>
      </c>
      <c r="L1438" s="459">
        <v>18.18</v>
      </c>
      <c r="M1438" s="123">
        <f>2*(2*0.5)+(0.8*2.1)+(1.6*2.1)</f>
        <v>7.0400000000000009</v>
      </c>
      <c r="N1438" s="457">
        <f t="shared" si="58"/>
        <v>50.226999999999997</v>
      </c>
      <c r="O1438" s="119"/>
    </row>
    <row r="1439" spans="1:18" s="127" customFormat="1">
      <c r="A1439" s="337"/>
      <c r="B1439" s="337"/>
      <c r="C1439" s="1001" t="s">
        <v>1821</v>
      </c>
      <c r="D1439" s="1001"/>
      <c r="E1439" s="1001"/>
      <c r="F1439" s="1001"/>
      <c r="G1439" s="343" t="s">
        <v>61</v>
      </c>
      <c r="H1439" s="443"/>
      <c r="I1439" s="340"/>
      <c r="J1439" s="340"/>
      <c r="K1439" s="340">
        <v>3.15</v>
      </c>
      <c r="L1439" s="459">
        <v>15.68</v>
      </c>
      <c r="M1439" s="123">
        <f>(0.8*2.1)+(2*0.5)</f>
        <v>2.68</v>
      </c>
      <c r="N1439" s="457">
        <f t="shared" si="58"/>
        <v>46.711999999999996</v>
      </c>
      <c r="O1439" s="119"/>
    </row>
    <row r="1440" spans="1:18" s="127" customFormat="1">
      <c r="A1440" s="337"/>
      <c r="B1440" s="337"/>
      <c r="C1440" s="1001" t="s">
        <v>1822</v>
      </c>
      <c r="D1440" s="1001"/>
      <c r="E1440" s="1001"/>
      <c r="F1440" s="1001"/>
      <c r="G1440" s="343" t="s">
        <v>61</v>
      </c>
      <c r="H1440" s="443"/>
      <c r="I1440" s="340"/>
      <c r="J1440" s="340"/>
      <c r="K1440" s="340">
        <v>3.15</v>
      </c>
      <c r="L1440" s="459">
        <v>20.68</v>
      </c>
      <c r="M1440" s="123">
        <f>2*(1.46*1.5)+(0.8*2.1)+(0.7*2.1)</f>
        <v>7.53</v>
      </c>
      <c r="N1440" s="457">
        <f t="shared" si="58"/>
        <v>57.611999999999995</v>
      </c>
      <c r="O1440" s="119"/>
    </row>
    <row r="1441" spans="1:15" s="127" customFormat="1">
      <c r="A1441" s="337"/>
      <c r="B1441" s="337"/>
      <c r="C1441" s="1001" t="s">
        <v>1979</v>
      </c>
      <c r="D1441" s="1001"/>
      <c r="E1441" s="1001"/>
      <c r="F1441" s="1001"/>
      <c r="G1441" s="343" t="s">
        <v>61</v>
      </c>
      <c r="H1441" s="443"/>
      <c r="I1441" s="340"/>
      <c r="J1441" s="340"/>
      <c r="K1441" s="340">
        <v>3.15</v>
      </c>
      <c r="L1441" s="459">
        <v>6.4</v>
      </c>
      <c r="M1441" s="309">
        <f>(0.7*2.1)+(1*0.5)</f>
        <v>1.97</v>
      </c>
      <c r="N1441" s="457">
        <f t="shared" si="58"/>
        <v>18.190000000000001</v>
      </c>
      <c r="O1441" s="119"/>
    </row>
    <row r="1442" spans="1:15" s="127" customFormat="1">
      <c r="A1442" s="337"/>
      <c r="B1442" s="337"/>
      <c r="C1442" s="1001" t="s">
        <v>1842</v>
      </c>
      <c r="D1442" s="1001"/>
      <c r="E1442" s="1001"/>
      <c r="F1442" s="1001"/>
      <c r="G1442" s="343" t="s">
        <v>61</v>
      </c>
      <c r="H1442" s="443"/>
      <c r="I1442" s="340"/>
      <c r="J1442" s="340"/>
      <c r="K1442" s="340">
        <v>3.15</v>
      </c>
      <c r="L1442" s="459">
        <v>27.7</v>
      </c>
      <c r="M1442" s="587">
        <f>(3.5*1.9)+(1*1)+(0.8*2.1)</f>
        <v>9.33</v>
      </c>
      <c r="N1442" s="457">
        <f t="shared" si="58"/>
        <v>77.924999999999997</v>
      </c>
      <c r="O1442" s="119"/>
    </row>
    <row r="1443" spans="1:15" s="127" customFormat="1">
      <c r="A1443" s="337"/>
      <c r="B1443" s="337"/>
      <c r="C1443" s="1001" t="s">
        <v>1843</v>
      </c>
      <c r="D1443" s="1001"/>
      <c r="E1443" s="1001"/>
      <c r="F1443" s="1001"/>
      <c r="G1443" s="343" t="s">
        <v>61</v>
      </c>
      <c r="H1443" s="443"/>
      <c r="I1443" s="340"/>
      <c r="J1443" s="340"/>
      <c r="K1443" s="340">
        <v>3.15</v>
      </c>
      <c r="L1443" s="459">
        <v>8.92</v>
      </c>
      <c r="M1443" s="587">
        <f>2*(2.1*0.8)+(1.91*1.5)+(1*1)</f>
        <v>7.2249999999999996</v>
      </c>
      <c r="N1443" s="457">
        <f t="shared" si="58"/>
        <v>20.872999999999998</v>
      </c>
      <c r="O1443" s="119"/>
    </row>
    <row r="1444" spans="1:15" s="127" customFormat="1">
      <c r="A1444" s="337"/>
      <c r="B1444" s="337"/>
      <c r="C1444" s="1001" t="s">
        <v>1830</v>
      </c>
      <c r="D1444" s="1001"/>
      <c r="E1444" s="1001"/>
      <c r="F1444" s="1001"/>
      <c r="G1444" s="343" t="s">
        <v>61</v>
      </c>
      <c r="H1444" s="443"/>
      <c r="I1444" s="340"/>
      <c r="J1444" s="340"/>
      <c r="K1444" s="340">
        <v>3.15</v>
      </c>
      <c r="L1444" s="457">
        <v>20.58</v>
      </c>
      <c r="M1444" s="587">
        <f>(2.1*0.8)*6</f>
        <v>10.080000000000002</v>
      </c>
      <c r="N1444" s="457">
        <f t="shared" si="58"/>
        <v>54.747</v>
      </c>
      <c r="O1444" s="119"/>
    </row>
    <row r="1445" spans="1:15" s="127" customFormat="1">
      <c r="A1445" s="337"/>
      <c r="B1445" s="337"/>
      <c r="C1445" s="1001" t="s">
        <v>1824</v>
      </c>
      <c r="D1445" s="1001"/>
      <c r="E1445" s="1001"/>
      <c r="F1445" s="1001"/>
      <c r="G1445" s="343" t="s">
        <v>61</v>
      </c>
      <c r="H1445" s="443"/>
      <c r="I1445" s="340"/>
      <c r="J1445" s="340"/>
      <c r="K1445" s="340">
        <v>3.15</v>
      </c>
      <c r="L1445" s="457">
        <v>17.64</v>
      </c>
      <c r="M1445" s="587">
        <f>(1.46*1.5)+(0.8*2.1)</f>
        <v>3.87</v>
      </c>
      <c r="N1445" s="457">
        <f t="shared" si="58"/>
        <v>51.696000000000005</v>
      </c>
      <c r="O1445" s="119"/>
    </row>
    <row r="1446" spans="1:15" s="127" customFormat="1">
      <c r="A1446" s="337"/>
      <c r="B1446" s="337"/>
      <c r="C1446" s="1001" t="s">
        <v>1855</v>
      </c>
      <c r="D1446" s="1001"/>
      <c r="E1446" s="1001"/>
      <c r="F1446" s="1001"/>
      <c r="G1446" s="343" t="s">
        <v>61</v>
      </c>
      <c r="H1446" s="443"/>
      <c r="I1446" s="340"/>
      <c r="J1446" s="340"/>
      <c r="K1446" s="340">
        <v>3.15</v>
      </c>
      <c r="L1446" s="457">
        <v>22.4</v>
      </c>
      <c r="M1446" s="587">
        <f>3*(2.1*0.8)</f>
        <v>5.0400000000000009</v>
      </c>
      <c r="N1446" s="457">
        <f t="shared" si="58"/>
        <v>65.519999999999982</v>
      </c>
      <c r="O1446" s="119"/>
    </row>
    <row r="1447" spans="1:15" s="127" customFormat="1">
      <c r="A1447" s="337"/>
      <c r="B1447" s="337"/>
      <c r="C1447" s="1001" t="s">
        <v>1826</v>
      </c>
      <c r="D1447" s="1001"/>
      <c r="E1447" s="1001"/>
      <c r="F1447" s="1001"/>
      <c r="G1447" s="343" t="s">
        <v>61</v>
      </c>
      <c r="H1447" s="443"/>
      <c r="I1447" s="340"/>
      <c r="J1447" s="340"/>
      <c r="K1447" s="340">
        <v>3.15</v>
      </c>
      <c r="L1447" s="459">
        <v>9.1999999999999993</v>
      </c>
      <c r="M1447" s="309">
        <f>(1*0.4)+(0.94*1)+(0.8*2.1)</f>
        <v>3.02</v>
      </c>
      <c r="N1447" s="457">
        <f t="shared" si="58"/>
        <v>25.959999999999997</v>
      </c>
      <c r="O1447" s="119"/>
    </row>
    <row r="1448" spans="1:15" s="127" customFormat="1">
      <c r="A1448" s="337"/>
      <c r="B1448" s="337"/>
      <c r="C1448" s="1001" t="s">
        <v>1980</v>
      </c>
      <c r="D1448" s="1001"/>
      <c r="E1448" s="1001"/>
      <c r="F1448" s="1001"/>
      <c r="G1448" s="343" t="s">
        <v>61</v>
      </c>
      <c r="H1448" s="443"/>
      <c r="I1448" s="340"/>
      <c r="J1448" s="340"/>
      <c r="K1448" s="340">
        <v>3.15</v>
      </c>
      <c r="L1448" s="459">
        <v>8.9</v>
      </c>
      <c r="M1448" s="309">
        <f>(2.1*0.8)+(2.65*1)</f>
        <v>4.33</v>
      </c>
      <c r="N1448" s="457">
        <f t="shared" si="58"/>
        <v>23.704999999999998</v>
      </c>
      <c r="O1448" s="119"/>
    </row>
    <row r="1449" spans="1:15" s="127" customFormat="1">
      <c r="A1449" s="337"/>
      <c r="B1449" s="337"/>
      <c r="C1449" s="1001" t="s">
        <v>1981</v>
      </c>
      <c r="D1449" s="1001"/>
      <c r="E1449" s="1001"/>
      <c r="F1449" s="1001"/>
      <c r="G1449" s="343" t="s">
        <v>61</v>
      </c>
      <c r="H1449" s="443"/>
      <c r="I1449" s="340"/>
      <c r="J1449" s="340"/>
      <c r="K1449" s="340">
        <v>3.15</v>
      </c>
      <c r="L1449" s="459">
        <v>8.9</v>
      </c>
      <c r="M1449" s="309">
        <f>2.1*0.8+(2.65*1)</f>
        <v>4.33</v>
      </c>
      <c r="N1449" s="457">
        <f t="shared" si="58"/>
        <v>23.704999999999998</v>
      </c>
      <c r="O1449" s="119"/>
    </row>
    <row r="1450" spans="1:15" s="127" customFormat="1">
      <c r="A1450" s="337"/>
      <c r="B1450" s="337"/>
      <c r="C1450" s="1001" t="s">
        <v>1830</v>
      </c>
      <c r="D1450" s="1001"/>
      <c r="E1450" s="1001"/>
      <c r="F1450" s="1001"/>
      <c r="G1450" s="343" t="s">
        <v>61</v>
      </c>
      <c r="H1450" s="443"/>
      <c r="I1450" s="340"/>
      <c r="J1450" s="340"/>
      <c r="K1450" s="340">
        <v>3.15</v>
      </c>
      <c r="L1450" s="459">
        <f>16.4988+7.8</f>
        <v>24.2988</v>
      </c>
      <c r="M1450" s="309">
        <f>7*(2.1*0.8)+(0.5*2.6)+(0.94*1)</f>
        <v>14.000000000000002</v>
      </c>
      <c r="N1450" s="457">
        <f t="shared" si="58"/>
        <v>62.541219999999996</v>
      </c>
      <c r="O1450" s="119"/>
    </row>
    <row r="1451" spans="1:15" s="127" customFormat="1">
      <c r="A1451" s="337"/>
      <c r="B1451" s="337"/>
      <c r="C1451" s="1001" t="s">
        <v>1831</v>
      </c>
      <c r="D1451" s="1001"/>
      <c r="E1451" s="1001"/>
      <c r="F1451" s="1001"/>
      <c r="G1451" s="343" t="s">
        <v>61</v>
      </c>
      <c r="H1451" s="443"/>
      <c r="I1451" s="340"/>
      <c r="J1451" s="340"/>
      <c r="K1451" s="340">
        <v>3.45</v>
      </c>
      <c r="L1451" s="459">
        <v>47</v>
      </c>
      <c r="M1451" s="309">
        <f>3*(2.6*0.5)+(1.6*2.1)+(0.8*2.1)</f>
        <v>8.9400000000000013</v>
      </c>
      <c r="N1451" s="457">
        <f t="shared" si="58"/>
        <v>153.21</v>
      </c>
      <c r="O1451" s="119"/>
    </row>
    <row r="1452" spans="1:15" s="127" customFormat="1">
      <c r="A1452" s="337"/>
      <c r="B1452" s="337"/>
      <c r="C1452" s="1001" t="s">
        <v>1982</v>
      </c>
      <c r="D1452" s="1001"/>
      <c r="E1452" s="1001"/>
      <c r="F1452" s="1001"/>
      <c r="G1452" s="343" t="s">
        <v>61</v>
      </c>
      <c r="H1452" s="340"/>
      <c r="I1452" s="340"/>
      <c r="J1452" s="119"/>
      <c r="K1452" s="119">
        <v>4.45</v>
      </c>
      <c r="L1452" s="119">
        <v>37.482799999999997</v>
      </c>
      <c r="M1452" s="587">
        <f>(2.75*2.5)+(2.2*4)+(1.63+3.61+1.94)*2.8+2*(0.7*2.1)+2*(0.8*2.1)</f>
        <v>42.078999999999994</v>
      </c>
      <c r="N1452" s="457">
        <f t="shared" si="58"/>
        <v>124.71946000000001</v>
      </c>
      <c r="O1452" s="119"/>
    </row>
    <row r="1453" spans="1:15" s="127" customFormat="1">
      <c r="A1453" s="337"/>
      <c r="B1453" s="337"/>
      <c r="C1453" s="1001" t="s">
        <v>1983</v>
      </c>
      <c r="D1453" s="1001"/>
      <c r="E1453" s="1001"/>
      <c r="F1453" s="1001"/>
      <c r="G1453" s="343" t="s">
        <v>61</v>
      </c>
      <c r="H1453" s="443"/>
      <c r="I1453" s="340"/>
      <c r="J1453" s="458"/>
      <c r="K1453" s="458">
        <v>3.15</v>
      </c>
      <c r="L1453" s="458">
        <v>7.2</v>
      </c>
      <c r="M1453" s="309">
        <f>0.8*2.1</f>
        <v>1.6800000000000002</v>
      </c>
      <c r="N1453" s="457">
        <f t="shared" si="58"/>
        <v>21</v>
      </c>
      <c r="O1453" s="119"/>
    </row>
    <row r="1454" spans="1:15" s="127" customFormat="1">
      <c r="A1454" s="337"/>
      <c r="B1454" s="337"/>
      <c r="C1454" s="1001" t="s">
        <v>1984</v>
      </c>
      <c r="D1454" s="1001"/>
      <c r="E1454" s="1001"/>
      <c r="F1454" s="1001"/>
      <c r="G1454" s="343" t="s">
        <v>61</v>
      </c>
      <c r="H1454" s="443"/>
      <c r="I1454" s="340"/>
      <c r="J1454" s="340"/>
      <c r="K1454" s="458">
        <v>3.15</v>
      </c>
      <c r="L1454" s="457">
        <v>7.2</v>
      </c>
      <c r="M1454" s="309">
        <f>0.8*2.1</f>
        <v>1.6800000000000002</v>
      </c>
      <c r="N1454" s="457">
        <f t="shared" si="58"/>
        <v>21</v>
      </c>
      <c r="O1454" s="119"/>
    </row>
    <row r="1455" spans="1:15" s="127" customFormat="1">
      <c r="A1455" s="337"/>
      <c r="B1455" s="337"/>
      <c r="C1455" s="1001" t="s">
        <v>1832</v>
      </c>
      <c r="D1455" s="1001"/>
      <c r="E1455" s="1001"/>
      <c r="F1455" s="1001"/>
      <c r="G1455" s="343" t="s">
        <v>61</v>
      </c>
      <c r="H1455" s="443"/>
      <c r="I1455" s="340"/>
      <c r="J1455" s="340"/>
      <c r="K1455" s="458">
        <v>3.15</v>
      </c>
      <c r="L1455" s="457">
        <v>5.8</v>
      </c>
      <c r="M1455" s="309">
        <f>(0.7*2.1)+(1*0.5)</f>
        <v>1.97</v>
      </c>
      <c r="N1455" s="457">
        <f t="shared" si="58"/>
        <v>16.3</v>
      </c>
      <c r="O1455" s="119"/>
    </row>
    <row r="1456" spans="1:15" s="127" customFormat="1">
      <c r="A1456" s="337"/>
      <c r="B1456" s="337"/>
      <c r="C1456" s="1001" t="s">
        <v>1833</v>
      </c>
      <c r="D1456" s="1001"/>
      <c r="E1456" s="1001"/>
      <c r="F1456" s="1001"/>
      <c r="G1456" s="343" t="s">
        <v>61</v>
      </c>
      <c r="H1456" s="443"/>
      <c r="I1456" s="340"/>
      <c r="J1456" s="340"/>
      <c r="K1456" s="458">
        <v>3.15</v>
      </c>
      <c r="L1456" s="457">
        <v>5.8</v>
      </c>
      <c r="M1456" s="309">
        <f>(0.7*2.1)+(1*0.5)</f>
        <v>1.97</v>
      </c>
      <c r="N1456" s="457">
        <f t="shared" si="58"/>
        <v>16.3</v>
      </c>
      <c r="O1456" s="119"/>
    </row>
    <row r="1457" spans="1:15" s="127" customFormat="1">
      <c r="A1457" s="337"/>
      <c r="B1457" s="337"/>
      <c r="C1457" s="1001" t="s">
        <v>1813</v>
      </c>
      <c r="D1457" s="1035"/>
      <c r="E1457" s="1035"/>
      <c r="F1457" s="1036"/>
      <c r="G1457" s="343" t="s">
        <v>61</v>
      </c>
      <c r="H1457" s="443"/>
      <c r="I1457" s="340"/>
      <c r="J1457" s="340"/>
      <c r="K1457" s="382">
        <v>6.35</v>
      </c>
      <c r="L1457" s="457">
        <v>152.0643</v>
      </c>
      <c r="M1457" s="587">
        <f>12*(1.46*1.5)+(1*0.5)*7+(2.4*4)+(3.05*4)+(2.4*1.8)*2+6*(2*0.5)+(1.6*2.1)+(0.8*2.1)+(1*0.5)+4*(2.6*0.5)+(1.94+3.61+1.63)*2.8+(2.2+9.6)*4</f>
        <v>144.26400000000001</v>
      </c>
      <c r="N1457" s="457">
        <f t="shared" si="58"/>
        <v>821.34430499999996</v>
      </c>
      <c r="O1457" s="119"/>
    </row>
    <row r="1458" spans="1:15" s="127" customFormat="1">
      <c r="A1458" s="337"/>
      <c r="B1458" s="337"/>
      <c r="C1458" s="1001" t="s">
        <v>1985</v>
      </c>
      <c r="D1458" s="1001"/>
      <c r="E1458" s="1001"/>
      <c r="F1458" s="1001"/>
      <c r="G1458" s="343" t="s">
        <v>61</v>
      </c>
      <c r="H1458" s="443"/>
      <c r="I1458" s="340"/>
      <c r="J1458" s="458"/>
      <c r="K1458" s="458">
        <v>2.7</v>
      </c>
      <c r="L1458" s="458">
        <v>103.76260000000001</v>
      </c>
      <c r="M1458" s="587">
        <f>3.3*2.5</f>
        <v>8.25</v>
      </c>
      <c r="N1458" s="457">
        <f>(2*(L1458*K1458))-M1458+(L1458*0.15)</f>
        <v>567.63243000000011</v>
      </c>
      <c r="O1458" s="119"/>
    </row>
    <row r="1459" spans="1:15" s="127" customFormat="1">
      <c r="A1459" s="337"/>
      <c r="B1459" s="337"/>
      <c r="C1459" s="1002" t="s">
        <v>1986</v>
      </c>
      <c r="D1459" s="1002"/>
      <c r="E1459" s="1002"/>
      <c r="F1459" s="1002"/>
      <c r="G1459" s="343" t="s">
        <v>61</v>
      </c>
      <c r="H1459" s="443"/>
      <c r="I1459" s="340"/>
      <c r="J1459" s="340"/>
      <c r="K1459" s="340">
        <v>0.2</v>
      </c>
      <c r="L1459" s="121">
        <f>(4.3+6.27)</f>
        <v>10.57</v>
      </c>
      <c r="M1459" s="587"/>
      <c r="N1459" s="457">
        <f>((L1459*K1459)*2)+L1459*0.15</f>
        <v>5.8135000000000003</v>
      </c>
      <c r="O1459" s="119"/>
    </row>
    <row r="1460" spans="1:15" s="127" customFormat="1">
      <c r="A1460" s="337"/>
      <c r="B1460" s="337"/>
      <c r="C1460" s="1006" t="s">
        <v>1987</v>
      </c>
      <c r="D1460" s="1006"/>
      <c r="E1460" s="1006"/>
      <c r="F1460" s="1006"/>
      <c r="G1460" s="338"/>
      <c r="H1460" s="443"/>
      <c r="I1460" s="340"/>
      <c r="J1460" s="340"/>
      <c r="K1460" s="340"/>
      <c r="L1460" s="121"/>
      <c r="M1460" s="587"/>
      <c r="N1460" s="457"/>
      <c r="O1460" s="119"/>
    </row>
    <row r="1461" spans="1:15" s="127" customFormat="1">
      <c r="A1461" s="337"/>
      <c r="B1461" s="337"/>
      <c r="C1461" s="1002" t="s">
        <v>1988</v>
      </c>
      <c r="D1461" s="1002"/>
      <c r="E1461" s="1002"/>
      <c r="F1461" s="1002"/>
      <c r="G1461" s="343" t="s">
        <v>61</v>
      </c>
      <c r="H1461" s="443"/>
      <c r="I1461" s="340"/>
      <c r="J1461" s="340"/>
      <c r="K1461" s="117">
        <v>0.95</v>
      </c>
      <c r="L1461" s="121">
        <v>16.77</v>
      </c>
      <c r="M1461" s="587"/>
      <c r="N1461" s="457">
        <f t="shared" ref="N1461:N1463" si="59">(L1461*K1461)-M1461</f>
        <v>15.931499999999998</v>
      </c>
      <c r="O1461" s="119"/>
    </row>
    <row r="1462" spans="1:15" s="127" customFormat="1">
      <c r="A1462" s="337"/>
      <c r="B1462" s="337"/>
      <c r="C1462" s="1002" t="s">
        <v>1989</v>
      </c>
      <c r="D1462" s="1002"/>
      <c r="E1462" s="1002"/>
      <c r="F1462" s="1002"/>
      <c r="G1462" s="343" t="s">
        <v>61</v>
      </c>
      <c r="H1462" s="443"/>
      <c r="I1462" s="340"/>
      <c r="J1462" s="340"/>
      <c r="K1462" s="117">
        <v>1.1499999999999999</v>
      </c>
      <c r="L1462" s="121">
        <v>35.360799999999998</v>
      </c>
      <c r="M1462" s="587"/>
      <c r="N1462" s="457">
        <f t="shared" si="59"/>
        <v>40.664919999999995</v>
      </c>
      <c r="O1462" s="119"/>
    </row>
    <row r="1463" spans="1:15" s="127" customFormat="1">
      <c r="A1463" s="337"/>
      <c r="B1463" s="337"/>
      <c r="C1463" s="1002" t="s">
        <v>1990</v>
      </c>
      <c r="D1463" s="1002"/>
      <c r="E1463" s="1002"/>
      <c r="F1463" s="1002"/>
      <c r="G1463" s="343" t="s">
        <v>61</v>
      </c>
      <c r="H1463" s="443"/>
      <c r="I1463" s="340"/>
      <c r="J1463" s="340"/>
      <c r="K1463" s="117">
        <v>1.75</v>
      </c>
      <c r="L1463" s="121">
        <v>18.835000000000001</v>
      </c>
      <c r="M1463" s="587"/>
      <c r="N1463" s="457">
        <f t="shared" si="59"/>
        <v>32.96125</v>
      </c>
      <c r="O1463" s="119"/>
    </row>
    <row r="1464" spans="1:15" s="127" customFormat="1">
      <c r="A1464" s="337"/>
      <c r="B1464" s="337"/>
      <c r="C1464" s="1002" t="s">
        <v>1991</v>
      </c>
      <c r="D1464" s="1002"/>
      <c r="E1464" s="1002"/>
      <c r="F1464" s="1002"/>
      <c r="G1464" s="343" t="s">
        <v>61</v>
      </c>
      <c r="H1464" s="443"/>
      <c r="I1464" s="582"/>
      <c r="J1464" s="582"/>
      <c r="K1464" s="583">
        <v>0.65</v>
      </c>
      <c r="L1464" s="583">
        <v>59.393099999999997</v>
      </c>
      <c r="M1464" s="587"/>
      <c r="N1464" s="457">
        <f>L1464*K1464</f>
        <v>38.605514999999997</v>
      </c>
      <c r="O1464" s="119"/>
    </row>
    <row r="1465" spans="1:15" s="127" customFormat="1">
      <c r="A1465" s="337"/>
      <c r="B1465" s="337"/>
      <c r="C1465" s="1002" t="s">
        <v>1992</v>
      </c>
      <c r="D1465" s="1002"/>
      <c r="E1465" s="1002"/>
      <c r="F1465" s="1002"/>
      <c r="G1465" s="343" t="s">
        <v>61</v>
      </c>
      <c r="H1465" s="443"/>
      <c r="I1465" s="582"/>
      <c r="J1465" s="582"/>
      <c r="K1465" s="583">
        <v>1.95</v>
      </c>
      <c r="L1465" s="583">
        <f>34.5197</f>
        <v>34.5197</v>
      </c>
      <c r="M1465" s="587"/>
      <c r="N1465" s="457">
        <f>L1465*K1465</f>
        <v>67.313414999999992</v>
      </c>
      <c r="O1465" s="119"/>
    </row>
    <row r="1466" spans="1:15" s="127" customFormat="1">
      <c r="A1466" s="337"/>
      <c r="B1466" s="337"/>
      <c r="C1466" s="1002" t="s">
        <v>1993</v>
      </c>
      <c r="D1466" s="1002"/>
      <c r="E1466" s="1002"/>
      <c r="F1466" s="1002"/>
      <c r="G1466" s="343" t="s">
        <v>61</v>
      </c>
      <c r="H1466" s="443"/>
      <c r="I1466" s="582"/>
      <c r="J1466" s="582"/>
      <c r="K1466" s="583">
        <v>0.95</v>
      </c>
      <c r="L1466" s="583">
        <f>(30.8+84.118+10.755)</f>
        <v>125.67299999999999</v>
      </c>
      <c r="M1466" s="587"/>
      <c r="N1466" s="457">
        <f t="shared" ref="N1466:N1467" si="60">(L1466*K1466)-M1466</f>
        <v>119.38934999999998</v>
      </c>
      <c r="O1466" s="119"/>
    </row>
    <row r="1467" spans="1:15" s="127" customFormat="1">
      <c r="A1467" s="337"/>
      <c r="B1467" s="337"/>
      <c r="C1467" s="1044" t="s">
        <v>1994</v>
      </c>
      <c r="D1467" s="1044"/>
      <c r="E1467" s="1044"/>
      <c r="F1467" s="1044"/>
      <c r="G1467" s="343" t="s">
        <v>61</v>
      </c>
      <c r="H1467" s="443"/>
      <c r="I1467" s="582"/>
      <c r="J1467" s="582"/>
      <c r="K1467" s="583">
        <v>2.4500000000000002</v>
      </c>
      <c r="L1467" s="583">
        <f>(11.4+11)</f>
        <v>22.4</v>
      </c>
      <c r="M1467" s="587"/>
      <c r="N1467" s="457">
        <f t="shared" si="60"/>
        <v>54.88</v>
      </c>
      <c r="O1467" s="119"/>
    </row>
    <row r="1468" spans="1:15" s="127" customFormat="1" ht="26.25" customHeight="1">
      <c r="A1468" s="377">
        <f>ORÇAMENTO!A165</f>
        <v>9716</v>
      </c>
      <c r="B1468" s="377" t="str">
        <f>ORÇAMENTO!C165</f>
        <v>10.01.04</v>
      </c>
      <c r="C1468" s="1003" t="str">
        <f>ORÇAMENTO!D165</f>
        <v>CANTONEIRA ALUMINIO ANODIZADO NATURAL, 1" X 1", BOLEADO, PARA ARREMATES EM REVESTIMENTOS CERÂMICOS</v>
      </c>
      <c r="D1468" s="1003"/>
      <c r="E1468" s="1003"/>
      <c r="F1468" s="1003"/>
      <c r="G1468" s="425" t="str">
        <f>ORÇAMENTO!E165</f>
        <v>M</v>
      </c>
      <c r="H1468" s="395"/>
      <c r="I1468" s="380"/>
      <c r="J1468" s="380"/>
      <c r="K1468" s="115"/>
      <c r="L1468" s="115">
        <f>SUM(L1469:L1469)</f>
        <v>170</v>
      </c>
      <c r="M1468" s="115"/>
      <c r="N1468" s="116"/>
      <c r="O1468" s="116"/>
    </row>
    <row r="1469" spans="1:15" s="127" customFormat="1">
      <c r="A1469" s="337"/>
      <c r="B1469" s="337"/>
      <c r="C1469" s="1019" t="s">
        <v>1995</v>
      </c>
      <c r="D1469" s="1019"/>
      <c r="E1469" s="1019"/>
      <c r="F1469" s="1019"/>
      <c r="G1469" s="343" t="s">
        <v>246</v>
      </c>
      <c r="H1469" s="443"/>
      <c r="I1469" s="582"/>
      <c r="J1469" s="582"/>
      <c r="K1469" s="583"/>
      <c r="L1469" s="583">
        <v>170</v>
      </c>
      <c r="M1469" s="587"/>
      <c r="N1469" s="118"/>
      <c r="O1469" s="119"/>
    </row>
    <row r="1470" spans="1:15" s="109" customFormat="1" ht="26.25" customHeight="1">
      <c r="A1470" s="377">
        <f>ORÇAMENTO!A166</f>
        <v>11088</v>
      </c>
      <c r="B1470" s="377" t="str">
        <f>ORÇAMENTO!C166</f>
        <v>10.01.05</v>
      </c>
      <c r="C1470" s="1003" t="str">
        <f>ORÇAMENTO!D166</f>
        <v>PERFIL ALUMÍNIO "U" 22,0MM X 1,90MM X 0,320KG/M</v>
      </c>
      <c r="D1470" s="1003"/>
      <c r="E1470" s="1003"/>
      <c r="F1470" s="1003"/>
      <c r="G1470" s="425" t="str">
        <f>ORÇAMENTO!E166</f>
        <v>M</v>
      </c>
      <c r="H1470" s="395"/>
      <c r="I1470" s="380"/>
      <c r="J1470" s="380"/>
      <c r="K1470" s="115"/>
      <c r="L1470" s="115">
        <f>SUM(L1471:L1472)</f>
        <v>121.4</v>
      </c>
      <c r="M1470" s="115"/>
      <c r="N1470" s="116"/>
      <c r="O1470" s="116"/>
    </row>
    <row r="1471" spans="1:15" s="47" customFormat="1" ht="15">
      <c r="A1471" s="337"/>
      <c r="B1471" s="337"/>
      <c r="C1471" s="1002" t="s">
        <v>1841</v>
      </c>
      <c r="D1471" s="1002"/>
      <c r="E1471" s="1002"/>
      <c r="F1471" s="1002"/>
      <c r="G1471" s="338" t="s">
        <v>246</v>
      </c>
      <c r="H1471" s="449"/>
      <c r="I1471" s="340"/>
      <c r="J1471" s="340"/>
      <c r="K1471" s="117"/>
      <c r="L1471" s="382">
        <v>66.2</v>
      </c>
      <c r="M1471" s="117"/>
      <c r="N1471" s="118"/>
      <c r="O1471" s="118"/>
    </row>
    <row r="1472" spans="1:15" s="47" customFormat="1" ht="15">
      <c r="A1472" s="337"/>
      <c r="B1472" s="447"/>
      <c r="C1472" s="1019" t="s">
        <v>1831</v>
      </c>
      <c r="D1472" s="1019"/>
      <c r="E1472" s="1019"/>
      <c r="F1472" s="1019"/>
      <c r="G1472" s="461" t="s">
        <v>246</v>
      </c>
      <c r="H1472" s="449"/>
      <c r="I1472" s="444"/>
      <c r="J1472" s="444"/>
      <c r="K1472" s="117"/>
      <c r="L1472" s="382">
        <f>10+(8*4.4)+10</f>
        <v>55.2</v>
      </c>
      <c r="M1472" s="303"/>
      <c r="N1472" s="118"/>
      <c r="O1472" s="118"/>
    </row>
    <row r="1473" spans="1:15" ht="12.75" customHeight="1">
      <c r="A1473" s="373" t="s">
        <v>11</v>
      </c>
      <c r="B1473" s="374" t="s">
        <v>13</v>
      </c>
      <c r="C1473" s="1048" t="s">
        <v>1443</v>
      </c>
      <c r="D1473" s="1048"/>
      <c r="E1473" s="1048"/>
      <c r="F1473" s="1048"/>
      <c r="G1473" s="374" t="s">
        <v>15</v>
      </c>
      <c r="H1473" s="375" t="s">
        <v>1444</v>
      </c>
      <c r="I1473" s="106" t="s">
        <v>1445</v>
      </c>
      <c r="J1473" s="106" t="s">
        <v>1446</v>
      </c>
      <c r="K1473" s="375" t="s">
        <v>1447</v>
      </c>
      <c r="L1473" s="375" t="s">
        <v>1448</v>
      </c>
      <c r="M1473" s="374" t="s">
        <v>1457</v>
      </c>
      <c r="N1473" s="375" t="s">
        <v>1450</v>
      </c>
      <c r="O1473" s="375" t="s">
        <v>1451</v>
      </c>
    </row>
    <row r="1474" spans="1:15">
      <c r="A1474" s="376"/>
      <c r="B1474" s="376" t="str">
        <f>ORÇAMENTO!C167</f>
        <v>10.02</v>
      </c>
      <c r="C1474" s="1008" t="str">
        <f>ORÇAMENTO!D167</f>
        <v xml:space="preserve">DE CERÂMICA </v>
      </c>
      <c r="D1474" s="1008"/>
      <c r="E1474" s="1008"/>
      <c r="F1474" s="1008"/>
      <c r="G1474" s="1039"/>
      <c r="H1474" s="1039"/>
      <c r="I1474" s="1039"/>
      <c r="J1474" s="1039"/>
      <c r="K1474" s="1039"/>
      <c r="L1474" s="1039"/>
      <c r="M1474" s="1039"/>
      <c r="N1474" s="1039"/>
      <c r="O1474" s="1039"/>
    </row>
    <row r="1475" spans="1:15" ht="54" customHeight="1">
      <c r="A1475" s="377">
        <f>ORÇAMENTO!A168</f>
        <v>13430</v>
      </c>
      <c r="B1475" s="377" t="str">
        <f>ORÇAMENTO!C168</f>
        <v>10.02.01</v>
      </c>
      <c r="C1475" s="1003" t="str">
        <f>ORÇAMENTO!D168</f>
        <v>REVESTIMENTO EM PORCELANATO PARA PAREDE, 19 X 90 CM, LINHA BOSCO AMÊNDOA MA, ELIANE OU SIMILAR, APLICADO COM ARGAMASSA INDUSTRIALIZADA AC-II, REJUNTADO, EXCLUSIVE REGULARIZAÇÃO DE BASE OU EMBOÇO</v>
      </c>
      <c r="D1475" s="1003"/>
      <c r="E1475" s="1003"/>
      <c r="F1475" s="1003"/>
      <c r="G1475" s="425" t="str">
        <f>ORÇAMENTO!E168</f>
        <v>M²</v>
      </c>
      <c r="H1475" s="383"/>
      <c r="I1475" s="380"/>
      <c r="J1475" s="380"/>
      <c r="K1475" s="115"/>
      <c r="L1475" s="115"/>
      <c r="M1475" s="115"/>
      <c r="N1475" s="116">
        <f>SUM(N1476:N1476)</f>
        <v>88.425349999999995</v>
      </c>
      <c r="O1475" s="116"/>
    </row>
    <row r="1476" spans="1:15" s="139" customFormat="1" ht="15">
      <c r="A1476" s="337"/>
      <c r="B1476" s="337"/>
      <c r="C1476" s="1002" t="s">
        <v>1996</v>
      </c>
      <c r="D1476" s="1002"/>
      <c r="E1476" s="1002"/>
      <c r="F1476" s="1002"/>
      <c r="G1476" s="338" t="s">
        <v>61</v>
      </c>
      <c r="H1476" s="339">
        <v>1.1000000000000001</v>
      </c>
      <c r="I1476" s="340"/>
      <c r="J1476" s="340"/>
      <c r="K1476" s="117"/>
      <c r="L1476" s="118"/>
      <c r="M1476" s="117"/>
      <c r="N1476" s="457">
        <f>(((3.7231+1.8252)*7.25)/2)*4 + 4*(0.25*7.25)*H1476</f>
        <v>88.425349999999995</v>
      </c>
      <c r="O1476" s="118"/>
    </row>
    <row r="1477" spans="1:15" ht="61.5" customHeight="1">
      <c r="A1477" s="377" t="str">
        <f>ORÇAMENTO!A169</f>
        <v>COMP - 00/02</v>
      </c>
      <c r="B1477" s="377" t="str">
        <f>ORÇAMENTO!C169</f>
        <v>10.02.02</v>
      </c>
      <c r="C1477" s="1003" t="str">
        <f>ORÇAMENTO!D169</f>
        <v>REVESTIMENTO CERÂMICO PARA PAREDE, 10 X 10 CM, ELIANE, LINHA GALERIA BRANCO MESH, PEI - 3, APLICADO COM ARGAMASSA INDUSTRIALIZADA AC-II, REJUNTADO, EXCLUSIVE REGULARIZAÇÃO DE BASE OU EMBOÇO</v>
      </c>
      <c r="D1477" s="1003"/>
      <c r="E1477" s="1003"/>
      <c r="F1477" s="1003"/>
      <c r="G1477" s="425" t="str">
        <f>ORÇAMENTO!E169</f>
        <v>M²</v>
      </c>
      <c r="H1477" s="383"/>
      <c r="I1477" s="380"/>
      <c r="J1477" s="380"/>
      <c r="K1477" s="115"/>
      <c r="L1477" s="115"/>
      <c r="M1477" s="115"/>
      <c r="N1477" s="116">
        <f>SUM(N1478:N1478)</f>
        <v>903.47873550000008</v>
      </c>
      <c r="O1477" s="116"/>
    </row>
    <row r="1478" spans="1:15" s="139" customFormat="1" ht="14.25" customHeight="1">
      <c r="A1478" s="337"/>
      <c r="B1478" s="337"/>
      <c r="C1478" s="1010" t="s">
        <v>1813</v>
      </c>
      <c r="D1478" s="1011"/>
      <c r="E1478" s="1011"/>
      <c r="F1478" s="1012"/>
      <c r="G1478" s="437" t="s">
        <v>61</v>
      </c>
      <c r="H1478" s="462">
        <v>1.1000000000000001</v>
      </c>
      <c r="I1478" s="340"/>
      <c r="J1478" s="340"/>
      <c r="K1478" s="463">
        <v>6.35</v>
      </c>
      <c r="L1478" s="553">
        <v>152.0643</v>
      </c>
      <c r="M1478" s="608">
        <f>12*(1.46*1.5)+(1*0.5)*7+(2.4*4)+(3.05*4)+(2.4*1.8)*2+6*(2*0.5)+(1.6*2.1)+(0.8*2.1)+(1*0.5)+4*(2.6*0.5)+(1.94+3.61+1.63)*2.8+(2.2+9.6)*4</f>
        <v>144.26400000000001</v>
      </c>
      <c r="N1478" s="457">
        <f>((L1478*K1478)-M1478)*H1478</f>
        <v>903.47873550000008</v>
      </c>
      <c r="O1478" s="118"/>
    </row>
    <row r="1479" spans="1:15" ht="57.75" customHeight="1">
      <c r="A1479" s="377">
        <f>ORÇAMENTO!A170</f>
        <v>10615</v>
      </c>
      <c r="B1479" s="377" t="str">
        <f>ORÇAMENTO!C170</f>
        <v>10.02.03</v>
      </c>
      <c r="C1479" s="1003" t="str">
        <f>ORÇAMENTO!D170</f>
        <v>REVESTIMENTO CERAMICO PARA PAREDE, 33,5 X 45 CM, ELIANE, LINHA FORMA BRANCO AC, APLICADO COM ARGAMASSA INDUSTRIALIZADA AC-I, REJUNTADO, EXCLUSIVE EMBOÇO</v>
      </c>
      <c r="D1479" s="1003"/>
      <c r="E1479" s="1003"/>
      <c r="F1479" s="1003"/>
      <c r="G1479" s="425" t="str">
        <f>ORÇAMENTO!E170</f>
        <v>M²</v>
      </c>
      <c r="H1479" s="383"/>
      <c r="I1479" s="380"/>
      <c r="J1479" s="380"/>
      <c r="K1479" s="115"/>
      <c r="L1479" s="115"/>
      <c r="M1479" s="115"/>
      <c r="N1479" s="116">
        <f>SUM(N1480:N1493)</f>
        <v>254.26293200000001</v>
      </c>
      <c r="O1479" s="116"/>
    </row>
    <row r="1480" spans="1:15" s="136" customFormat="1" ht="14.25" customHeight="1">
      <c r="A1480" s="337"/>
      <c r="B1480" s="337"/>
      <c r="C1480" s="1002" t="s">
        <v>1997</v>
      </c>
      <c r="D1480" s="1002"/>
      <c r="E1480" s="1002"/>
      <c r="F1480" s="1002"/>
      <c r="G1480" s="338" t="s">
        <v>61</v>
      </c>
      <c r="H1480" s="339">
        <v>1.1000000000000001</v>
      </c>
      <c r="I1480" s="340"/>
      <c r="J1480" s="340"/>
      <c r="K1480" s="117">
        <v>2.8</v>
      </c>
      <c r="L1480" s="118">
        <v>4.5</v>
      </c>
      <c r="M1480" s="309">
        <f>(0.7*2.1)+(1*0.5)</f>
        <v>1.97</v>
      </c>
      <c r="N1480" s="118">
        <f>((K1480*L1480)-M1480)*H1480</f>
        <v>11.693</v>
      </c>
      <c r="O1480" s="118"/>
    </row>
    <row r="1481" spans="1:15" s="136" customFormat="1" ht="14.25" customHeight="1">
      <c r="A1481" s="337"/>
      <c r="B1481" s="337"/>
      <c r="C1481" s="1002" t="s">
        <v>1998</v>
      </c>
      <c r="D1481" s="1002"/>
      <c r="E1481" s="1002"/>
      <c r="F1481" s="1002"/>
      <c r="G1481" s="338" t="s">
        <v>61</v>
      </c>
      <c r="H1481" s="339">
        <v>1.1000000000000001</v>
      </c>
      <c r="I1481" s="340"/>
      <c r="J1481" s="340"/>
      <c r="K1481" s="117">
        <v>2.8</v>
      </c>
      <c r="L1481" s="118">
        <v>4.5</v>
      </c>
      <c r="M1481" s="309">
        <f>(0.7*2.1)+(1*0.5)</f>
        <v>1.97</v>
      </c>
      <c r="N1481" s="118">
        <f t="shared" ref="N1481:N1493" si="61">((K1481*L1481)-M1481)*H1481</f>
        <v>11.693</v>
      </c>
      <c r="O1481" s="118"/>
    </row>
    <row r="1482" spans="1:15" s="136" customFormat="1" ht="15">
      <c r="A1482" s="337"/>
      <c r="B1482" s="337"/>
      <c r="C1482" s="1002" t="s">
        <v>1933</v>
      </c>
      <c r="D1482" s="1002"/>
      <c r="E1482" s="1002"/>
      <c r="F1482" s="1002"/>
      <c r="G1482" s="338" t="s">
        <v>61</v>
      </c>
      <c r="H1482" s="339">
        <v>1.1000000000000001</v>
      </c>
      <c r="I1482" s="340"/>
      <c r="J1482" s="340"/>
      <c r="K1482" s="117">
        <v>2.8</v>
      </c>
      <c r="L1482" s="118">
        <v>8.4350000000000005</v>
      </c>
      <c r="M1482" s="123">
        <f>(2*0.5)</f>
        <v>1</v>
      </c>
      <c r="N1482" s="118">
        <f t="shared" si="61"/>
        <v>24.879799999999999</v>
      </c>
      <c r="O1482" s="118"/>
    </row>
    <row r="1483" spans="1:15" s="136" customFormat="1" ht="15.75" customHeight="1">
      <c r="A1483" s="337"/>
      <c r="B1483" s="337"/>
      <c r="C1483" s="1002" t="s">
        <v>1932</v>
      </c>
      <c r="D1483" s="1002"/>
      <c r="E1483" s="1002"/>
      <c r="F1483" s="1002"/>
      <c r="G1483" s="338" t="s">
        <v>61</v>
      </c>
      <c r="H1483" s="339">
        <v>1.1000000000000001</v>
      </c>
      <c r="I1483" s="340"/>
      <c r="J1483" s="340"/>
      <c r="K1483" s="117">
        <v>2.8</v>
      </c>
      <c r="L1483" s="118">
        <v>8.4350000000000005</v>
      </c>
      <c r="M1483" s="123">
        <f>(2*0.5)</f>
        <v>1</v>
      </c>
      <c r="N1483" s="118">
        <f t="shared" si="61"/>
        <v>24.879799999999999</v>
      </c>
      <c r="O1483" s="118"/>
    </row>
    <row r="1484" spans="1:15" s="136" customFormat="1" ht="15.75" customHeight="1">
      <c r="A1484" s="337"/>
      <c r="B1484" s="337"/>
      <c r="C1484" s="1002" t="s">
        <v>1819</v>
      </c>
      <c r="D1484" s="1002"/>
      <c r="E1484" s="1002"/>
      <c r="F1484" s="1002"/>
      <c r="G1484" s="338" t="s">
        <v>61</v>
      </c>
      <c r="H1484" s="339">
        <v>1.1000000000000001</v>
      </c>
      <c r="I1484" s="340"/>
      <c r="J1484" s="340"/>
      <c r="K1484" s="117">
        <v>2.8</v>
      </c>
      <c r="L1484" s="118">
        <v>7.8</v>
      </c>
      <c r="M1484" s="123">
        <f>1*0.5+(0.7*2.1)</f>
        <v>1.97</v>
      </c>
      <c r="N1484" s="118">
        <f t="shared" si="61"/>
        <v>21.857000000000003</v>
      </c>
      <c r="O1484" s="118"/>
    </row>
    <row r="1485" spans="1:15" s="136" customFormat="1" ht="15">
      <c r="A1485" s="337"/>
      <c r="B1485" s="337"/>
      <c r="C1485" s="1002" t="s">
        <v>1835</v>
      </c>
      <c r="D1485" s="1002"/>
      <c r="E1485" s="1002"/>
      <c r="F1485" s="1002"/>
      <c r="G1485" s="338" t="s">
        <v>61</v>
      </c>
      <c r="H1485" s="339">
        <v>1.1000000000000001</v>
      </c>
      <c r="I1485" s="340"/>
      <c r="J1485" s="340"/>
      <c r="K1485" s="117">
        <v>2.8</v>
      </c>
      <c r="L1485" s="118">
        <v>5.4</v>
      </c>
      <c r="M1485" s="309">
        <f>0.8*2.1</f>
        <v>1.6800000000000002</v>
      </c>
      <c r="N1485" s="118">
        <f t="shared" si="61"/>
        <v>14.784000000000001</v>
      </c>
      <c r="O1485" s="118"/>
    </row>
    <row r="1486" spans="1:15" s="136" customFormat="1" ht="15.75" customHeight="1">
      <c r="A1486" s="337"/>
      <c r="B1486" s="337"/>
      <c r="C1486" s="1002" t="s">
        <v>1834</v>
      </c>
      <c r="D1486" s="1002"/>
      <c r="E1486" s="1002"/>
      <c r="F1486" s="1002"/>
      <c r="G1486" s="338" t="s">
        <v>61</v>
      </c>
      <c r="H1486" s="339">
        <v>1.1000000000000001</v>
      </c>
      <c r="I1486" s="340"/>
      <c r="J1486" s="340"/>
      <c r="K1486" s="117">
        <v>2.8</v>
      </c>
      <c r="L1486" s="118">
        <v>5.4</v>
      </c>
      <c r="M1486" s="309">
        <f>0.8*2.1</f>
        <v>1.6800000000000002</v>
      </c>
      <c r="N1486" s="118">
        <f t="shared" si="61"/>
        <v>14.784000000000001</v>
      </c>
      <c r="O1486" s="118"/>
    </row>
    <row r="1487" spans="1:15" s="136" customFormat="1" ht="15.75" customHeight="1">
      <c r="A1487" s="337"/>
      <c r="B1487" s="337"/>
      <c r="C1487" s="1002" t="s">
        <v>1999</v>
      </c>
      <c r="D1487" s="1002"/>
      <c r="E1487" s="1002"/>
      <c r="F1487" s="1002"/>
      <c r="G1487" s="338" t="s">
        <v>61</v>
      </c>
      <c r="H1487" s="339">
        <v>1.1000000000000001</v>
      </c>
      <c r="I1487" s="340"/>
      <c r="J1487" s="340"/>
      <c r="K1487" s="117">
        <v>2.8</v>
      </c>
      <c r="L1487" s="118">
        <v>4</v>
      </c>
      <c r="M1487" s="309">
        <f>(0.7*2.1)+(1*0.5)</f>
        <v>1.97</v>
      </c>
      <c r="N1487" s="118">
        <f t="shared" si="61"/>
        <v>10.152999999999999</v>
      </c>
      <c r="O1487" s="118"/>
    </row>
    <row r="1488" spans="1:15" s="136" customFormat="1" ht="15.75" customHeight="1">
      <c r="A1488" s="337"/>
      <c r="B1488" s="337"/>
      <c r="C1488" s="1002" t="s">
        <v>2000</v>
      </c>
      <c r="D1488" s="1002"/>
      <c r="E1488" s="1002"/>
      <c r="F1488" s="1002"/>
      <c r="G1488" s="338" t="s">
        <v>61</v>
      </c>
      <c r="H1488" s="339">
        <v>1.1000000000000001</v>
      </c>
      <c r="I1488" s="340"/>
      <c r="J1488" s="340"/>
      <c r="K1488" s="117">
        <v>2.8</v>
      </c>
      <c r="L1488" s="118">
        <v>4</v>
      </c>
      <c r="M1488" s="309">
        <f>(0.7*2.1)+(1*0.5)</f>
        <v>1.97</v>
      </c>
      <c r="N1488" s="118">
        <f t="shared" si="61"/>
        <v>10.152999999999999</v>
      </c>
      <c r="O1488" s="118"/>
    </row>
    <row r="1489" spans="1:15" s="136" customFormat="1" ht="15.75" customHeight="1">
      <c r="A1489" s="337"/>
      <c r="B1489" s="337"/>
      <c r="C1489" s="1002" t="s">
        <v>1840</v>
      </c>
      <c r="D1489" s="1002"/>
      <c r="E1489" s="1002"/>
      <c r="F1489" s="1002"/>
      <c r="G1489" s="338" t="s">
        <v>61</v>
      </c>
      <c r="H1489" s="339">
        <v>1.1000000000000001</v>
      </c>
      <c r="I1489" s="340"/>
      <c r="J1489" s="340"/>
      <c r="K1489" s="117">
        <v>2.8</v>
      </c>
      <c r="L1489" s="118">
        <v>4.0999999999999996</v>
      </c>
      <c r="M1489" s="382">
        <f>(0.7*2.1)+(1*0.5)</f>
        <v>1.97</v>
      </c>
      <c r="N1489" s="118">
        <f t="shared" si="61"/>
        <v>10.460999999999999</v>
      </c>
      <c r="O1489" s="118"/>
    </row>
    <row r="1490" spans="1:15" s="136" customFormat="1" ht="15">
      <c r="A1490" s="337"/>
      <c r="B1490" s="337"/>
      <c r="C1490" s="1002" t="s">
        <v>1978</v>
      </c>
      <c r="D1490" s="1002"/>
      <c r="E1490" s="1002"/>
      <c r="F1490" s="1002"/>
      <c r="G1490" s="338" t="s">
        <v>61</v>
      </c>
      <c r="H1490" s="339">
        <v>1.1000000000000001</v>
      </c>
      <c r="I1490" s="340"/>
      <c r="J1490" s="340"/>
      <c r="K1490" s="117">
        <v>2.8</v>
      </c>
      <c r="L1490" s="118">
        <v>4.0999999999999996</v>
      </c>
      <c r="M1490" s="382">
        <f>(0.7*2.1)+(1*0.5)</f>
        <v>1.97</v>
      </c>
      <c r="N1490" s="118">
        <f t="shared" si="61"/>
        <v>10.460999999999999</v>
      </c>
      <c r="O1490" s="118"/>
    </row>
    <row r="1491" spans="1:15" s="136" customFormat="1" ht="15.75" customHeight="1">
      <c r="A1491" s="337"/>
      <c r="B1491" s="459"/>
      <c r="C1491" s="1002" t="s">
        <v>2001</v>
      </c>
      <c r="D1491" s="1002"/>
      <c r="E1491" s="1002"/>
      <c r="F1491" s="1002"/>
      <c r="G1491" s="338" t="s">
        <v>61</v>
      </c>
      <c r="H1491" s="339">
        <v>1.1000000000000001</v>
      </c>
      <c r="I1491" s="340"/>
      <c r="J1491" s="340"/>
      <c r="K1491" s="117">
        <v>2.8</v>
      </c>
      <c r="L1491" s="118">
        <v>13.292899999999999</v>
      </c>
      <c r="M1491" s="459">
        <f>(2.1*0.8)+(1.2*2.1)+(1.46*1.5)+(2*0.5)</f>
        <v>7.3900000000000006</v>
      </c>
      <c r="N1491" s="118">
        <f t="shared" si="61"/>
        <v>32.813131999999996</v>
      </c>
      <c r="O1491" s="118"/>
    </row>
    <row r="1492" spans="1:15" s="136" customFormat="1" ht="15.75" customHeight="1">
      <c r="A1492" s="337"/>
      <c r="B1492" s="459"/>
      <c r="C1492" s="1002" t="s">
        <v>1814</v>
      </c>
      <c r="D1492" s="1002"/>
      <c r="E1492" s="1002"/>
      <c r="F1492" s="1002"/>
      <c r="G1492" s="338" t="s">
        <v>61</v>
      </c>
      <c r="H1492" s="339">
        <v>1.1000000000000001</v>
      </c>
      <c r="I1492" s="340"/>
      <c r="J1492" s="340"/>
      <c r="K1492" s="117">
        <v>2.8</v>
      </c>
      <c r="L1492" s="118">
        <v>12.44</v>
      </c>
      <c r="M1492" s="459">
        <f>(0.8*2.1)*2+(2.1*1.2)+(1.8*2.4)</f>
        <v>10.200000000000001</v>
      </c>
      <c r="N1492" s="118">
        <f t="shared" si="61"/>
        <v>27.095199999999991</v>
      </c>
      <c r="O1492" s="118"/>
    </row>
    <row r="1493" spans="1:15" s="136" customFormat="1" ht="15">
      <c r="A1493" s="337"/>
      <c r="B1493" s="337"/>
      <c r="C1493" s="1002" t="s">
        <v>1826</v>
      </c>
      <c r="D1493" s="1002"/>
      <c r="E1493" s="1002"/>
      <c r="F1493" s="1002"/>
      <c r="G1493" s="338" t="s">
        <v>61</v>
      </c>
      <c r="H1493" s="339">
        <v>1.1000000000000001</v>
      </c>
      <c r="I1493" s="340"/>
      <c r="J1493" s="340"/>
      <c r="K1493" s="117">
        <v>3.15</v>
      </c>
      <c r="L1493" s="118">
        <v>9.1999999999999993</v>
      </c>
      <c r="M1493" s="309">
        <f>(1*0.4)+(0.94*1)+(0.8*2.1)</f>
        <v>3.02</v>
      </c>
      <c r="N1493" s="118">
        <f t="shared" si="61"/>
        <v>28.556000000000001</v>
      </c>
      <c r="O1493" s="118"/>
    </row>
    <row r="1494" spans="1:15" ht="49.5" customHeight="1">
      <c r="A1494" s="377">
        <f>ORÇAMENTO!A171</f>
        <v>11179</v>
      </c>
      <c r="B1494" s="377" t="str">
        <f>ORÇAMENTO!C171</f>
        <v>10.02.04</v>
      </c>
      <c r="C1494" s="1003" t="str">
        <f>ORÇAMENTO!D171</f>
        <v>REVESTIMENTO CERÂMICO PARA PAREDE, 5 X 10 CM, ELIZABETH, LINHA LUX VERDE CLARO, APLICADO COM ARGAMASSA INDUSTRIALIZADA AC-II, REJUNTE EPOXI, EXCLUSIVE REGULARIZAÇÃO DE BASE OU EMBOÇO - REV 02</v>
      </c>
      <c r="D1494" s="1003"/>
      <c r="E1494" s="1003"/>
      <c r="F1494" s="1003"/>
      <c r="G1494" s="425" t="str">
        <f>ORÇAMENTO!E171</f>
        <v>M²</v>
      </c>
      <c r="H1494" s="383"/>
      <c r="I1494" s="380"/>
      <c r="J1494" s="380"/>
      <c r="K1494" s="115"/>
      <c r="L1494" s="115"/>
      <c r="M1494" s="115"/>
      <c r="N1494" s="116">
        <f>SUM(N1495:N1504)</f>
        <v>48.180199999999992</v>
      </c>
      <c r="O1494" s="116"/>
    </row>
    <row r="1495" spans="1:15" s="139" customFormat="1" ht="15">
      <c r="A1495" s="337"/>
      <c r="B1495" s="337"/>
      <c r="C1495" s="1002" t="s">
        <v>1997</v>
      </c>
      <c r="D1495" s="1002"/>
      <c r="E1495" s="1002"/>
      <c r="F1495" s="1002"/>
      <c r="G1495" s="338" t="s">
        <v>61</v>
      </c>
      <c r="H1495" s="339">
        <v>1.1000000000000001</v>
      </c>
      <c r="I1495" s="340"/>
      <c r="J1495" s="340"/>
      <c r="K1495" s="117">
        <v>2.8</v>
      </c>
      <c r="L1495" s="118">
        <v>1.9</v>
      </c>
      <c r="M1495" s="117"/>
      <c r="N1495" s="118">
        <f t="shared" ref="N1495:N1504" si="62">(K1495*L1495)-M1495</f>
        <v>5.3199999999999994</v>
      </c>
      <c r="O1495" s="118"/>
    </row>
    <row r="1496" spans="1:15" s="139" customFormat="1" ht="15">
      <c r="A1496" s="337"/>
      <c r="B1496" s="337"/>
      <c r="C1496" s="1002" t="s">
        <v>1998</v>
      </c>
      <c r="D1496" s="1002"/>
      <c r="E1496" s="1002"/>
      <c r="F1496" s="1002"/>
      <c r="G1496" s="338" t="s">
        <v>61</v>
      </c>
      <c r="H1496" s="339">
        <v>1.1000000000000001</v>
      </c>
      <c r="I1496" s="340"/>
      <c r="J1496" s="340"/>
      <c r="K1496" s="117">
        <v>2.8</v>
      </c>
      <c r="L1496" s="118">
        <v>1.9</v>
      </c>
      <c r="M1496" s="117"/>
      <c r="N1496" s="118">
        <f t="shared" si="62"/>
        <v>5.3199999999999994</v>
      </c>
      <c r="O1496" s="118"/>
    </row>
    <row r="1497" spans="1:15" s="139" customFormat="1" ht="15.75" customHeight="1">
      <c r="A1497" s="337"/>
      <c r="B1497" s="337"/>
      <c r="C1497" s="1002" t="s">
        <v>1933</v>
      </c>
      <c r="D1497" s="1002"/>
      <c r="E1497" s="1002"/>
      <c r="F1497" s="1002"/>
      <c r="G1497" s="338" t="s">
        <v>61</v>
      </c>
      <c r="H1497" s="339">
        <v>1.1000000000000001</v>
      </c>
      <c r="I1497" s="340"/>
      <c r="J1497" s="340"/>
      <c r="K1497" s="117">
        <v>2.8</v>
      </c>
      <c r="L1497" s="118">
        <v>2.0350000000000001</v>
      </c>
      <c r="M1497" s="117">
        <f>0.83*2.13</f>
        <v>1.7678999999999998</v>
      </c>
      <c r="N1497" s="118">
        <f t="shared" si="62"/>
        <v>3.9301000000000004</v>
      </c>
      <c r="O1497" s="118"/>
    </row>
    <row r="1498" spans="1:15" s="139" customFormat="1" ht="15.75" customHeight="1">
      <c r="A1498" s="337"/>
      <c r="B1498" s="337"/>
      <c r="C1498" s="1002" t="s">
        <v>1932</v>
      </c>
      <c r="D1498" s="1002"/>
      <c r="E1498" s="1002"/>
      <c r="F1498" s="1002"/>
      <c r="G1498" s="338" t="s">
        <v>61</v>
      </c>
      <c r="H1498" s="339">
        <v>1.1000000000000001</v>
      </c>
      <c r="I1498" s="340"/>
      <c r="J1498" s="340"/>
      <c r="K1498" s="117">
        <v>2.8</v>
      </c>
      <c r="L1498" s="118">
        <v>2.0350000000000001</v>
      </c>
      <c r="M1498" s="117">
        <f>0.83*2.13</f>
        <v>1.7678999999999998</v>
      </c>
      <c r="N1498" s="118">
        <f t="shared" si="62"/>
        <v>3.9301000000000004</v>
      </c>
      <c r="O1498" s="118"/>
    </row>
    <row r="1499" spans="1:15" s="139" customFormat="1" ht="15.75" customHeight="1">
      <c r="A1499" s="337"/>
      <c r="B1499" s="337"/>
      <c r="C1499" s="1002" t="s">
        <v>1835</v>
      </c>
      <c r="D1499" s="1002"/>
      <c r="E1499" s="1002"/>
      <c r="F1499" s="1002"/>
      <c r="G1499" s="338" t="s">
        <v>61</v>
      </c>
      <c r="H1499" s="339">
        <v>1.1000000000000001</v>
      </c>
      <c r="I1499" s="340"/>
      <c r="J1499" s="340"/>
      <c r="K1499" s="117">
        <v>2.8</v>
      </c>
      <c r="L1499" s="118">
        <v>1.8</v>
      </c>
      <c r="M1499" s="117"/>
      <c r="N1499" s="118">
        <f t="shared" si="62"/>
        <v>5.04</v>
      </c>
      <c r="O1499" s="118"/>
    </row>
    <row r="1500" spans="1:15" s="139" customFormat="1" ht="15.75" customHeight="1">
      <c r="A1500" s="337"/>
      <c r="B1500" s="337"/>
      <c r="C1500" s="1002" t="s">
        <v>1834</v>
      </c>
      <c r="D1500" s="1002"/>
      <c r="E1500" s="1002"/>
      <c r="F1500" s="1002"/>
      <c r="G1500" s="338" t="s">
        <v>61</v>
      </c>
      <c r="H1500" s="339">
        <v>1.1000000000000001</v>
      </c>
      <c r="I1500" s="340"/>
      <c r="J1500" s="340"/>
      <c r="K1500" s="117">
        <v>2.8</v>
      </c>
      <c r="L1500" s="118">
        <v>1.8</v>
      </c>
      <c r="M1500" s="117"/>
      <c r="N1500" s="118">
        <f t="shared" si="62"/>
        <v>5.04</v>
      </c>
      <c r="O1500" s="118"/>
    </row>
    <row r="1501" spans="1:15" s="136" customFormat="1" ht="15.75" customHeight="1">
      <c r="A1501" s="337"/>
      <c r="B1501" s="337"/>
      <c r="C1501" s="1002" t="s">
        <v>1999</v>
      </c>
      <c r="D1501" s="1002"/>
      <c r="E1501" s="1002"/>
      <c r="F1501" s="1002"/>
      <c r="G1501" s="338" t="s">
        <v>61</v>
      </c>
      <c r="H1501" s="339">
        <v>1.1000000000000001</v>
      </c>
      <c r="I1501" s="340"/>
      <c r="J1501" s="340"/>
      <c r="K1501" s="117">
        <v>2.8</v>
      </c>
      <c r="L1501" s="118">
        <v>1.8</v>
      </c>
      <c r="M1501" s="309"/>
      <c r="N1501" s="118">
        <f t="shared" ref="N1501:N1502" si="63">(K1501*L1501)-M1501</f>
        <v>5.04</v>
      </c>
      <c r="O1501" s="118"/>
    </row>
    <row r="1502" spans="1:15" s="136" customFormat="1" ht="15.75" customHeight="1">
      <c r="A1502" s="337"/>
      <c r="B1502" s="337"/>
      <c r="C1502" s="1002" t="s">
        <v>2000</v>
      </c>
      <c r="D1502" s="1002"/>
      <c r="E1502" s="1002"/>
      <c r="F1502" s="1002"/>
      <c r="G1502" s="338" t="s">
        <v>61</v>
      </c>
      <c r="H1502" s="339">
        <v>1.1000000000000001</v>
      </c>
      <c r="I1502" s="340"/>
      <c r="J1502" s="340"/>
      <c r="K1502" s="117">
        <v>2.8</v>
      </c>
      <c r="L1502" s="118">
        <v>1.8</v>
      </c>
      <c r="M1502" s="309"/>
      <c r="N1502" s="118">
        <f t="shared" si="63"/>
        <v>5.04</v>
      </c>
      <c r="O1502" s="118"/>
    </row>
    <row r="1503" spans="1:15" s="139" customFormat="1" ht="15.75" customHeight="1">
      <c r="A1503" s="337"/>
      <c r="B1503" s="337"/>
      <c r="C1503" s="1002" t="s">
        <v>1840</v>
      </c>
      <c r="D1503" s="1002"/>
      <c r="E1503" s="1002"/>
      <c r="F1503" s="1002"/>
      <c r="G1503" s="338" t="s">
        <v>61</v>
      </c>
      <c r="H1503" s="339">
        <v>1.1000000000000001</v>
      </c>
      <c r="I1503" s="340"/>
      <c r="J1503" s="340"/>
      <c r="K1503" s="117">
        <v>2.8</v>
      </c>
      <c r="L1503" s="118">
        <v>1.7</v>
      </c>
      <c r="M1503" s="117"/>
      <c r="N1503" s="118">
        <f t="shared" si="62"/>
        <v>4.76</v>
      </c>
      <c r="O1503" s="118"/>
    </row>
    <row r="1504" spans="1:15" s="139" customFormat="1" ht="15.75" customHeight="1">
      <c r="A1504" s="337"/>
      <c r="B1504" s="337"/>
      <c r="C1504" s="1002" t="s">
        <v>1978</v>
      </c>
      <c r="D1504" s="1002"/>
      <c r="E1504" s="1002"/>
      <c r="F1504" s="1002"/>
      <c r="G1504" s="338" t="s">
        <v>61</v>
      </c>
      <c r="H1504" s="339">
        <v>1.1000000000000001</v>
      </c>
      <c r="I1504" s="340"/>
      <c r="J1504" s="340"/>
      <c r="K1504" s="117">
        <v>2.8</v>
      </c>
      <c r="L1504" s="118">
        <v>1.7</v>
      </c>
      <c r="M1504" s="117"/>
      <c r="N1504" s="118">
        <f t="shared" si="62"/>
        <v>4.76</v>
      </c>
      <c r="O1504" s="118"/>
    </row>
    <row r="1505" spans="1:15" ht="12.75" customHeight="1">
      <c r="A1505" s="373" t="s">
        <v>11</v>
      </c>
      <c r="B1505" s="375" t="s">
        <v>13</v>
      </c>
      <c r="C1505" s="1007" t="s">
        <v>1443</v>
      </c>
      <c r="D1505" s="1007"/>
      <c r="E1505" s="1007"/>
      <c r="F1505" s="1007"/>
      <c r="G1505" s="375" t="s">
        <v>15</v>
      </c>
      <c r="H1505" s="375" t="s">
        <v>1444</v>
      </c>
      <c r="I1505" s="375" t="s">
        <v>1445</v>
      </c>
      <c r="J1505" s="375" t="s">
        <v>1446</v>
      </c>
      <c r="K1505" s="375" t="s">
        <v>1447</v>
      </c>
      <c r="L1505" s="375" t="s">
        <v>1448</v>
      </c>
      <c r="M1505" s="375" t="s">
        <v>1457</v>
      </c>
      <c r="N1505" s="375" t="s">
        <v>1450</v>
      </c>
      <c r="O1505" s="375" t="s">
        <v>1451</v>
      </c>
    </row>
    <row r="1506" spans="1:15">
      <c r="A1506" s="376"/>
      <c r="B1506" s="376" t="str">
        <f>ORÇAMENTO!C172</f>
        <v>10.03</v>
      </c>
      <c r="C1506" s="1008" t="str">
        <f>ORÇAMENTO!D172</f>
        <v>ACÚSTICO</v>
      </c>
      <c r="D1506" s="1008"/>
      <c r="E1506" s="1008"/>
      <c r="F1506" s="1008"/>
      <c r="G1506" s="1039"/>
      <c r="H1506" s="1039"/>
      <c r="I1506" s="1039"/>
      <c r="J1506" s="1039"/>
      <c r="K1506" s="1039"/>
      <c r="L1506" s="1039"/>
      <c r="M1506" s="1039"/>
      <c r="N1506" s="1039"/>
      <c r="O1506" s="1039"/>
    </row>
    <row r="1507" spans="1:15" ht="16.5" customHeight="1">
      <c r="A1507" s="377" t="str">
        <f>ORÇAMENTO!A173</f>
        <v>MERC.</v>
      </c>
      <c r="B1507" s="377" t="str">
        <f>ORÇAMENTO!C173</f>
        <v>10.03.01</v>
      </c>
      <c r="C1507" s="1003" t="str">
        <f>ORÇAMENTO!D173</f>
        <v>PAINEL ACUSTICO 500X500X50</v>
      </c>
      <c r="D1507" s="1003"/>
      <c r="E1507" s="1003"/>
      <c r="F1507" s="1003"/>
      <c r="G1507" s="377" t="s">
        <v>96</v>
      </c>
      <c r="H1507" s="429">
        <f>SUM(H1508:H1508)</f>
        <v>20</v>
      </c>
      <c r="I1507" s="379"/>
      <c r="J1507" s="380"/>
      <c r="K1507" s="379"/>
      <c r="L1507" s="380"/>
      <c r="M1507" s="379"/>
      <c r="N1507" s="380"/>
      <c r="O1507" s="380"/>
    </row>
    <row r="1508" spans="1:15">
      <c r="A1508" s="342"/>
      <c r="B1508" s="342"/>
      <c r="C1508" s="1002" t="s">
        <v>2002</v>
      </c>
      <c r="D1508" s="1002"/>
      <c r="E1508" s="1002"/>
      <c r="F1508" s="1002"/>
      <c r="G1508" s="389" t="s">
        <v>96</v>
      </c>
      <c r="H1508" s="584">
        <v>20</v>
      </c>
      <c r="I1508" s="582"/>
      <c r="J1508" s="582"/>
      <c r="K1508" s="583"/>
      <c r="L1508" s="583"/>
      <c r="M1508" s="583"/>
      <c r="N1508" s="597"/>
      <c r="O1508" s="340"/>
    </row>
    <row r="1509" spans="1:15" ht="15.75" customHeight="1">
      <c r="A1509" s="377" t="str">
        <f>ORÇAMENTO!A174</f>
        <v>MERC.</v>
      </c>
      <c r="B1509" s="377" t="str">
        <f>ORÇAMENTO!C174</f>
        <v>10.03.02</v>
      </c>
      <c r="C1509" s="1003" t="str">
        <f>ORÇAMENTO!D174</f>
        <v>PAINEL ACUSTICO 1200X2700X50</v>
      </c>
      <c r="D1509" s="1003"/>
      <c r="E1509" s="1003"/>
      <c r="F1509" s="1003"/>
      <c r="G1509" s="377" t="str">
        <f>ORÇAMENTO!E173</f>
        <v xml:space="preserve">UN </v>
      </c>
      <c r="H1509" s="429">
        <f>SUM(H1510)</f>
        <v>4</v>
      </c>
      <c r="I1509" s="379"/>
      <c r="J1509" s="380"/>
      <c r="K1509" s="379"/>
      <c r="L1509" s="380"/>
      <c r="M1509" s="379"/>
      <c r="N1509" s="380"/>
      <c r="O1509" s="380"/>
    </row>
    <row r="1510" spans="1:15">
      <c r="A1510" s="342"/>
      <c r="B1510" s="342"/>
      <c r="C1510" s="1019" t="s">
        <v>2002</v>
      </c>
      <c r="D1510" s="1019"/>
      <c r="E1510" s="1019"/>
      <c r="F1510" s="1019"/>
      <c r="G1510" s="389" t="s">
        <v>96</v>
      </c>
      <c r="H1510" s="584">
        <v>4</v>
      </c>
      <c r="I1510" s="582"/>
      <c r="J1510" s="582"/>
      <c r="K1510" s="583"/>
      <c r="L1510" s="583"/>
      <c r="M1510" s="583"/>
      <c r="N1510" s="597"/>
      <c r="O1510" s="340"/>
    </row>
    <row r="1511" spans="1:15" ht="26.25" customHeight="1">
      <c r="A1511" s="344">
        <f>ORÇAMENTO!A175</f>
        <v>39719</v>
      </c>
      <c r="B1511" s="344" t="str">
        <f>ORÇAMENTO!C175</f>
        <v>10.03.03</v>
      </c>
      <c r="C1511" s="1014" t="str">
        <f>ORÇAMENTO!D175</f>
        <v>ADESIVO / COLA DE CONTATO LIQUIDO, A BASE DE RESINAS, PARA COLAGEM DE ESPUMA PARA ISOLAMENTO TERMICO FLEXIVEL</v>
      </c>
      <c r="D1511" s="1014"/>
      <c r="E1511" s="1014"/>
      <c r="F1511" s="1014"/>
      <c r="G1511" s="344" t="str">
        <f>ORÇAMENTO!E175</f>
        <v>L</v>
      </c>
      <c r="H1511" s="429">
        <f>SUM(H1512:H1512)</f>
        <v>8</v>
      </c>
      <c r="I1511" s="345"/>
      <c r="J1511" s="429"/>
      <c r="K1511" s="345"/>
      <c r="L1511" s="429"/>
      <c r="M1511" s="345"/>
      <c r="N1511" s="429"/>
      <c r="O1511" s="429"/>
    </row>
    <row r="1512" spans="1:15">
      <c r="A1512" s="342"/>
      <c r="B1512" s="342"/>
      <c r="C1512" s="1019" t="s">
        <v>2003</v>
      </c>
      <c r="D1512" s="1019"/>
      <c r="E1512" s="1019"/>
      <c r="F1512" s="1019"/>
      <c r="G1512" s="389" t="s">
        <v>365</v>
      </c>
      <c r="H1512" s="584">
        <v>8</v>
      </c>
      <c r="I1512" s="582"/>
      <c r="J1512" s="582"/>
      <c r="K1512" s="583"/>
      <c r="L1512" s="583"/>
      <c r="M1512" s="583"/>
      <c r="N1512" s="597"/>
      <c r="O1512" s="340"/>
    </row>
    <row r="1513" spans="1:15" ht="12.75" customHeight="1">
      <c r="A1513" s="373" t="s">
        <v>11</v>
      </c>
      <c r="B1513" s="375" t="s">
        <v>13</v>
      </c>
      <c r="C1513" s="1007" t="s">
        <v>1443</v>
      </c>
      <c r="D1513" s="1007"/>
      <c r="E1513" s="1007"/>
      <c r="F1513" s="1007"/>
      <c r="G1513" s="375" t="s">
        <v>15</v>
      </c>
      <c r="H1513" s="375" t="s">
        <v>1444</v>
      </c>
      <c r="I1513" s="375" t="s">
        <v>1445</v>
      </c>
      <c r="J1513" s="375" t="s">
        <v>1446</v>
      </c>
      <c r="K1513" s="375" t="s">
        <v>1447</v>
      </c>
      <c r="L1513" s="375" t="s">
        <v>1448</v>
      </c>
      <c r="M1513" s="375" t="s">
        <v>1457</v>
      </c>
      <c r="N1513" s="375" t="s">
        <v>1450</v>
      </c>
      <c r="O1513" s="375" t="s">
        <v>1451</v>
      </c>
    </row>
    <row r="1514" spans="1:15">
      <c r="A1514" s="376"/>
      <c r="B1514" s="376" t="str">
        <f>ORÇAMENTO!C176</f>
        <v>10.04</v>
      </c>
      <c r="C1514" s="1008" t="str">
        <f>ORÇAMENTO!D176</f>
        <v>FORROS</v>
      </c>
      <c r="D1514" s="1008"/>
      <c r="E1514" s="1008"/>
      <c r="F1514" s="1008"/>
      <c r="G1514" s="1039"/>
      <c r="H1514" s="1039"/>
      <c r="I1514" s="1039"/>
      <c r="J1514" s="1039"/>
      <c r="K1514" s="1039"/>
      <c r="L1514" s="1039"/>
      <c r="M1514" s="1039"/>
      <c r="N1514" s="1039"/>
      <c r="O1514" s="1039"/>
    </row>
    <row r="1515" spans="1:15" ht="16.899999999999999" customHeight="1">
      <c r="A1515" s="377" t="str">
        <f>ORÇAMENTO!A177</f>
        <v>MERC02/05</v>
      </c>
      <c r="B1515" s="377" t="str">
        <f>ORÇAMENTO!C177</f>
        <v>10.04.01</v>
      </c>
      <c r="C1515" s="1014" t="str">
        <f>ORÇAMENTO!D177</f>
        <v>FORRO  NUVEM QUADRADA 1.20 X 1.20</v>
      </c>
      <c r="D1515" s="1014"/>
      <c r="E1515" s="1014"/>
      <c r="F1515" s="1014"/>
      <c r="G1515" s="390" t="str">
        <f>ORÇAMENTO!E177</f>
        <v xml:space="preserve">UN </v>
      </c>
      <c r="H1515" s="383">
        <f>SUM(H1516:H1518)</f>
        <v>24</v>
      </c>
      <c r="I1515" s="379"/>
      <c r="J1515" s="380"/>
      <c r="K1515" s="379"/>
      <c r="L1515" s="380"/>
      <c r="M1515" s="379"/>
      <c r="N1515" s="380"/>
      <c r="O1515" s="380"/>
    </row>
    <row r="1516" spans="1:15">
      <c r="A1516" s="342"/>
      <c r="B1516" s="342"/>
      <c r="C1516" s="1002" t="s">
        <v>2002</v>
      </c>
      <c r="D1516" s="1002"/>
      <c r="E1516" s="1002"/>
      <c r="F1516" s="1002"/>
      <c r="G1516" s="389" t="s">
        <v>55</v>
      </c>
      <c r="H1516" s="584">
        <v>18</v>
      </c>
      <c r="I1516" s="582"/>
      <c r="J1516" s="582"/>
      <c r="K1516" s="583"/>
      <c r="L1516" s="583"/>
      <c r="M1516" s="583"/>
      <c r="N1516" s="584"/>
      <c r="O1516" s="340"/>
    </row>
    <row r="1517" spans="1:15" ht="12.75" customHeight="1">
      <c r="A1517" s="342"/>
      <c r="B1517" s="342"/>
      <c r="C1517" s="1019" t="s">
        <v>2004</v>
      </c>
      <c r="D1517" s="1019"/>
      <c r="E1517" s="1019"/>
      <c r="F1517" s="1019"/>
      <c r="G1517" s="389" t="s">
        <v>55</v>
      </c>
      <c r="H1517" s="584">
        <v>2</v>
      </c>
      <c r="I1517" s="582"/>
      <c r="J1517" s="582"/>
      <c r="K1517" s="583"/>
      <c r="L1517" s="583"/>
      <c r="M1517" s="583"/>
      <c r="N1517" s="584"/>
      <c r="O1517" s="340"/>
    </row>
    <row r="1518" spans="1:15" ht="12.75" customHeight="1">
      <c r="A1518" s="342"/>
      <c r="B1518" s="342"/>
      <c r="C1518" s="1019" t="s">
        <v>2005</v>
      </c>
      <c r="D1518" s="1019"/>
      <c r="E1518" s="1019"/>
      <c r="F1518" s="1019"/>
      <c r="G1518" s="389" t="s">
        <v>55</v>
      </c>
      <c r="H1518" s="584">
        <v>4</v>
      </c>
      <c r="I1518" s="582"/>
      <c r="J1518" s="582"/>
      <c r="K1518" s="583"/>
      <c r="L1518" s="583"/>
      <c r="M1518" s="583"/>
      <c r="N1518" s="584"/>
      <c r="O1518" s="340"/>
    </row>
    <row r="1519" spans="1:15" ht="24" customHeight="1">
      <c r="A1519" s="377" t="str">
        <f>ORÇAMENTO!A178</f>
        <v>COMP - 00/06</v>
      </c>
      <c r="B1519" s="377" t="str">
        <f>ORÇAMENTO!C178</f>
        <v>10.04.02</v>
      </c>
      <c r="C1519" s="1003" t="str">
        <f>ORÇAMENTO!D178</f>
        <v>FORNECIMENTO E INSTALAÇÃO DE FORRO WHITE CINE AE IR25 (0.620X1.245X25MM)</v>
      </c>
      <c r="D1519" s="1003"/>
      <c r="E1519" s="1003"/>
      <c r="F1519" s="1003"/>
      <c r="G1519" s="390" t="s">
        <v>61</v>
      </c>
      <c r="H1519" s="383"/>
      <c r="I1519" s="379"/>
      <c r="J1519" s="380"/>
      <c r="K1519" s="379"/>
      <c r="L1519" s="380"/>
      <c r="M1519" s="379"/>
      <c r="N1519" s="380">
        <f>SUM(N1520:N1527)</f>
        <v>279.42619999999999</v>
      </c>
      <c r="O1519" s="380"/>
    </row>
    <row r="1520" spans="1:15">
      <c r="A1520" s="342"/>
      <c r="B1520" s="342"/>
      <c r="C1520" s="1002" t="s">
        <v>2004</v>
      </c>
      <c r="D1520" s="1002"/>
      <c r="E1520" s="1002"/>
      <c r="F1520" s="1002"/>
      <c r="G1520" s="389" t="s">
        <v>61</v>
      </c>
      <c r="H1520" s="584"/>
      <c r="I1520" s="582"/>
      <c r="J1520" s="582"/>
      <c r="K1520" s="583"/>
      <c r="L1520" s="583"/>
      <c r="M1520" s="583"/>
      <c r="N1520" s="582">
        <v>23.426200000000001</v>
      </c>
      <c r="O1520" s="340"/>
    </row>
    <row r="1521" spans="1:15">
      <c r="A1521" s="464"/>
      <c r="B1521" s="464"/>
      <c r="C1521" s="1019" t="s">
        <v>2006</v>
      </c>
      <c r="D1521" s="1019"/>
      <c r="E1521" s="1019"/>
      <c r="F1521" s="1019"/>
      <c r="G1521" s="442" t="s">
        <v>61</v>
      </c>
      <c r="H1521" s="612"/>
      <c r="I1521" s="609"/>
      <c r="J1521" s="609"/>
      <c r="K1521" s="610"/>
      <c r="L1521" s="610"/>
      <c r="M1521" s="610"/>
      <c r="N1521" s="609">
        <v>23.65</v>
      </c>
      <c r="O1521" s="444"/>
    </row>
    <row r="1522" spans="1:15">
      <c r="A1522" s="342"/>
      <c r="B1522" s="342"/>
      <c r="C1522" s="1002" t="s">
        <v>2005</v>
      </c>
      <c r="D1522" s="1002"/>
      <c r="E1522" s="1002"/>
      <c r="F1522" s="1002"/>
      <c r="G1522" s="389" t="s">
        <v>61</v>
      </c>
      <c r="H1522" s="584"/>
      <c r="I1522" s="582"/>
      <c r="J1522" s="582"/>
      <c r="K1522" s="583"/>
      <c r="L1522" s="583"/>
      <c r="M1522" s="583"/>
      <c r="N1522" s="582">
        <v>31.32</v>
      </c>
      <c r="O1522" s="340"/>
    </row>
    <row r="1523" spans="1:15">
      <c r="A1523" s="464"/>
      <c r="B1523" s="464"/>
      <c r="C1523" s="1019" t="s">
        <v>2007</v>
      </c>
      <c r="D1523" s="1019"/>
      <c r="E1523" s="1019"/>
      <c r="F1523" s="1019"/>
      <c r="G1523" s="442" t="s">
        <v>61</v>
      </c>
      <c r="H1523" s="612"/>
      <c r="I1523" s="609"/>
      <c r="J1523" s="609"/>
      <c r="K1523" s="610"/>
      <c r="L1523" s="610"/>
      <c r="M1523" s="610"/>
      <c r="N1523" s="609">
        <v>23.65</v>
      </c>
      <c r="O1523" s="444"/>
    </row>
    <row r="1524" spans="1:15">
      <c r="A1524" s="342"/>
      <c r="B1524" s="342"/>
      <c r="C1524" s="1002" t="s">
        <v>2002</v>
      </c>
      <c r="D1524" s="1002"/>
      <c r="E1524" s="1002"/>
      <c r="F1524" s="1002"/>
      <c r="G1524" s="389" t="s">
        <v>61</v>
      </c>
      <c r="H1524" s="584"/>
      <c r="I1524" s="582"/>
      <c r="J1524" s="582"/>
      <c r="K1524" s="583"/>
      <c r="L1524" s="583"/>
      <c r="M1524" s="583"/>
      <c r="N1524" s="582">
        <v>135</v>
      </c>
      <c r="O1524" s="340"/>
    </row>
    <row r="1525" spans="1:15">
      <c r="A1525" s="464"/>
      <c r="B1525" s="464"/>
      <c r="C1525" s="1019" t="s">
        <v>1493</v>
      </c>
      <c r="D1525" s="1019"/>
      <c r="E1525" s="1019"/>
      <c r="F1525" s="1019"/>
      <c r="G1525" s="442" t="s">
        <v>61</v>
      </c>
      <c r="H1525" s="612"/>
      <c r="I1525" s="609"/>
      <c r="J1525" s="609"/>
      <c r="K1525" s="610"/>
      <c r="L1525" s="610"/>
      <c r="M1525" s="610"/>
      <c r="N1525" s="609">
        <v>14.75</v>
      </c>
      <c r="O1525" s="444"/>
    </row>
    <row r="1526" spans="1:15">
      <c r="A1526" s="464"/>
      <c r="B1526" s="464"/>
      <c r="C1526" s="1019" t="s">
        <v>1977</v>
      </c>
      <c r="D1526" s="1019"/>
      <c r="E1526" s="1019"/>
      <c r="F1526" s="1019"/>
      <c r="G1526" s="442" t="s">
        <v>61</v>
      </c>
      <c r="H1526" s="612"/>
      <c r="I1526" s="609"/>
      <c r="J1526" s="609"/>
      <c r="K1526" s="610"/>
      <c r="L1526" s="610"/>
      <c r="M1526" s="610"/>
      <c r="N1526" s="609">
        <v>14.75</v>
      </c>
      <c r="O1526" s="444"/>
    </row>
    <row r="1527" spans="1:15">
      <c r="A1527" s="464"/>
      <c r="B1527" s="464"/>
      <c r="C1527" s="1019" t="s">
        <v>1837</v>
      </c>
      <c r="D1527" s="1019"/>
      <c r="E1527" s="1019"/>
      <c r="F1527" s="1019"/>
      <c r="G1527" s="442" t="s">
        <v>61</v>
      </c>
      <c r="H1527" s="612"/>
      <c r="I1527" s="609"/>
      <c r="J1527" s="609"/>
      <c r="K1527" s="610"/>
      <c r="L1527" s="610"/>
      <c r="M1527" s="610"/>
      <c r="N1527" s="609">
        <v>12.88</v>
      </c>
      <c r="O1527" s="444"/>
    </row>
    <row r="1528" spans="1:15" ht="27.75" customHeight="1">
      <c r="A1528" s="344">
        <f>ORÇAMENTO!A179</f>
        <v>5045</v>
      </c>
      <c r="B1528" s="344" t="str">
        <f>ORÇAMENTO!C179</f>
        <v>10.04.03</v>
      </c>
      <c r="C1528" s="1014" t="str">
        <f>ORÇAMENTO!D179</f>
        <v>FORRO DE PVC, EM PLACA 1,25x0,625M, COR BRANCA, INCLUSIVE ESTRUTURA DE FIXAÇÃO, INSTALADO</v>
      </c>
      <c r="D1528" s="1014"/>
      <c r="E1528" s="1014"/>
      <c r="F1528" s="1014"/>
      <c r="G1528" s="465" t="s">
        <v>61</v>
      </c>
      <c r="H1528" s="436"/>
      <c r="I1528" s="345"/>
      <c r="J1528" s="429"/>
      <c r="K1528" s="345"/>
      <c r="L1528" s="429"/>
      <c r="M1528" s="345"/>
      <c r="N1528" s="429">
        <f>SUM(N1529:N1559)</f>
        <v>530.43280000000016</v>
      </c>
      <c r="O1528" s="429"/>
    </row>
    <row r="1529" spans="1:15">
      <c r="A1529" s="342"/>
      <c r="B1529" s="464"/>
      <c r="C1529" s="1087" t="s">
        <v>1836</v>
      </c>
      <c r="D1529" s="1088"/>
      <c r="E1529" s="1088"/>
      <c r="F1529" s="1089"/>
      <c r="G1529" s="437" t="s">
        <v>61</v>
      </c>
      <c r="H1529" s="462"/>
      <c r="I1529" s="444"/>
      <c r="J1529" s="444"/>
      <c r="K1529" s="697"/>
      <c r="L1529" s="553"/>
      <c r="M1529" s="313"/>
      <c r="N1529" s="551">
        <v>12.58</v>
      </c>
      <c r="O1529" s="340"/>
    </row>
    <row r="1530" spans="1:15">
      <c r="A1530" s="342"/>
      <c r="B1530" s="464"/>
      <c r="C1530" s="1010" t="s">
        <v>1978</v>
      </c>
      <c r="D1530" s="1011"/>
      <c r="E1530" s="1011"/>
      <c r="F1530" s="1012"/>
      <c r="G1530" s="437" t="s">
        <v>61</v>
      </c>
      <c r="H1530" s="462"/>
      <c r="I1530" s="444"/>
      <c r="J1530" s="444"/>
      <c r="K1530" s="444"/>
      <c r="L1530" s="463"/>
      <c r="M1530" s="463"/>
      <c r="N1530" s="551">
        <v>2.04</v>
      </c>
      <c r="O1530" s="340"/>
    </row>
    <row r="1531" spans="1:15">
      <c r="A1531" s="464"/>
      <c r="B1531" s="464"/>
      <c r="C1531" s="1010" t="s">
        <v>1840</v>
      </c>
      <c r="D1531" s="1011"/>
      <c r="E1531" s="1011"/>
      <c r="F1531" s="1012"/>
      <c r="G1531" s="437" t="s">
        <v>61</v>
      </c>
      <c r="H1531" s="462"/>
      <c r="I1531" s="444"/>
      <c r="J1531" s="444"/>
      <c r="K1531" s="444"/>
      <c r="L1531" s="463"/>
      <c r="M1531" s="463"/>
      <c r="N1531" s="551">
        <v>2.04</v>
      </c>
      <c r="O1531" s="444"/>
    </row>
    <row r="1532" spans="1:15">
      <c r="A1532" s="464"/>
      <c r="B1532" s="464"/>
      <c r="C1532" s="1010" t="s">
        <v>1841</v>
      </c>
      <c r="D1532" s="1011"/>
      <c r="E1532" s="1011"/>
      <c r="F1532" s="1012"/>
      <c r="G1532" s="437" t="s">
        <v>61</v>
      </c>
      <c r="H1532" s="462"/>
      <c r="I1532" s="444"/>
      <c r="J1532" s="444"/>
      <c r="K1532" s="444"/>
      <c r="L1532" s="463"/>
      <c r="M1532" s="463"/>
      <c r="N1532" s="551">
        <v>157.88</v>
      </c>
      <c r="O1532" s="444"/>
    </row>
    <row r="1533" spans="1:15">
      <c r="A1533" s="464"/>
      <c r="B1533" s="464"/>
      <c r="C1533" s="1010" t="s">
        <v>1824</v>
      </c>
      <c r="D1533" s="1011"/>
      <c r="E1533" s="1011"/>
      <c r="F1533" s="1012"/>
      <c r="G1533" s="437" t="s">
        <v>61</v>
      </c>
      <c r="H1533" s="462"/>
      <c r="I1533" s="444"/>
      <c r="J1533" s="444"/>
      <c r="K1533" s="444"/>
      <c r="L1533" s="463"/>
      <c r="M1533" s="463"/>
      <c r="N1533" s="551">
        <v>18.600000000000001</v>
      </c>
      <c r="O1533" s="444"/>
    </row>
    <row r="1534" spans="1:15">
      <c r="A1534" s="464"/>
      <c r="B1534" s="464"/>
      <c r="C1534" s="1010" t="s">
        <v>1830</v>
      </c>
      <c r="D1534" s="1011"/>
      <c r="E1534" s="1011"/>
      <c r="F1534" s="1012"/>
      <c r="G1534" s="437" t="s">
        <v>61</v>
      </c>
      <c r="H1534" s="462"/>
      <c r="I1534" s="444"/>
      <c r="J1534" s="444"/>
      <c r="K1534" s="444"/>
      <c r="L1534" s="463"/>
      <c r="M1534" s="463"/>
      <c r="N1534" s="551">
        <v>10.9</v>
      </c>
      <c r="O1534" s="444"/>
    </row>
    <row r="1535" spans="1:15">
      <c r="A1535" s="464"/>
      <c r="B1535" s="464"/>
      <c r="C1535" s="1010" t="s">
        <v>1823</v>
      </c>
      <c r="D1535" s="1011"/>
      <c r="E1535" s="1011"/>
      <c r="F1535" s="1012"/>
      <c r="G1535" s="437" t="s">
        <v>61</v>
      </c>
      <c r="H1535" s="462"/>
      <c r="I1535" s="444"/>
      <c r="J1535" s="444"/>
      <c r="K1535" s="444"/>
      <c r="L1535" s="463"/>
      <c r="M1535" s="463"/>
      <c r="N1535" s="551">
        <v>2.4700000000000002</v>
      </c>
      <c r="O1535" s="444"/>
    </row>
    <row r="1536" spans="1:15">
      <c r="A1536" s="464"/>
      <c r="B1536" s="464"/>
      <c r="C1536" s="1010" t="s">
        <v>1842</v>
      </c>
      <c r="D1536" s="1011"/>
      <c r="E1536" s="1011"/>
      <c r="F1536" s="1012"/>
      <c r="G1536" s="437" t="s">
        <v>61</v>
      </c>
      <c r="H1536" s="462"/>
      <c r="I1536" s="444"/>
      <c r="J1536" s="444"/>
      <c r="K1536" s="444"/>
      <c r="L1536" s="466"/>
      <c r="M1536" s="466"/>
      <c r="N1536" s="551">
        <v>40.64</v>
      </c>
      <c r="O1536" s="444"/>
    </row>
    <row r="1537" spans="1:15">
      <c r="A1537" s="464"/>
      <c r="B1537" s="464"/>
      <c r="C1537" s="1010" t="s">
        <v>1843</v>
      </c>
      <c r="D1537" s="1011"/>
      <c r="E1537" s="1011"/>
      <c r="F1537" s="1012"/>
      <c r="G1537" s="437" t="s">
        <v>61</v>
      </c>
      <c r="H1537" s="462"/>
      <c r="I1537" s="444"/>
      <c r="J1537" s="444"/>
      <c r="K1537" s="444"/>
      <c r="L1537" s="466"/>
      <c r="M1537" s="466"/>
      <c r="N1537" s="551">
        <v>5.35</v>
      </c>
      <c r="O1537" s="444"/>
    </row>
    <row r="1538" spans="1:15">
      <c r="A1538" s="464"/>
      <c r="B1538" s="464"/>
      <c r="C1538" s="1010" t="s">
        <v>1814</v>
      </c>
      <c r="D1538" s="1011"/>
      <c r="E1538" s="1011"/>
      <c r="F1538" s="1012"/>
      <c r="G1538" s="437" t="s">
        <v>61</v>
      </c>
      <c r="H1538" s="462"/>
      <c r="I1538" s="444"/>
      <c r="J1538" s="444"/>
      <c r="K1538" s="444"/>
      <c r="L1538" s="466"/>
      <c r="M1538" s="466"/>
      <c r="N1538" s="551">
        <v>8</v>
      </c>
      <c r="O1538" s="444"/>
    </row>
    <row r="1539" spans="1:15">
      <c r="A1539" s="464"/>
      <c r="B1539" s="464"/>
      <c r="C1539" s="1010" t="s">
        <v>1815</v>
      </c>
      <c r="D1539" s="1011"/>
      <c r="E1539" s="1011"/>
      <c r="F1539" s="1012"/>
      <c r="G1539" s="437" t="s">
        <v>61</v>
      </c>
      <c r="H1539" s="462"/>
      <c r="I1539" s="444"/>
      <c r="J1539" s="444"/>
      <c r="K1539" s="444"/>
      <c r="L1539" s="466"/>
      <c r="M1539" s="466"/>
      <c r="N1539" s="551">
        <v>11.52</v>
      </c>
      <c r="O1539" s="444"/>
    </row>
    <row r="1540" spans="1:15">
      <c r="A1540" s="464"/>
      <c r="B1540" s="464"/>
      <c r="C1540" s="1010" t="s">
        <v>1816</v>
      </c>
      <c r="D1540" s="1011"/>
      <c r="E1540" s="1011"/>
      <c r="F1540" s="1012"/>
      <c r="G1540" s="437" t="s">
        <v>61</v>
      </c>
      <c r="H1540" s="462"/>
      <c r="I1540" s="444"/>
      <c r="J1540" s="444"/>
      <c r="K1540" s="444"/>
      <c r="L1540" s="466"/>
      <c r="M1540" s="310"/>
      <c r="N1540" s="551">
        <v>6.51</v>
      </c>
      <c r="O1540" s="444"/>
    </row>
    <row r="1541" spans="1:15">
      <c r="A1541" s="464"/>
      <c r="B1541" s="464"/>
      <c r="C1541" s="1010" t="s">
        <v>1817</v>
      </c>
      <c r="D1541" s="1011"/>
      <c r="E1541" s="1011"/>
      <c r="F1541" s="1012"/>
      <c r="G1541" s="437" t="s">
        <v>61</v>
      </c>
      <c r="H1541" s="462"/>
      <c r="I1541" s="444"/>
      <c r="J1541" s="444"/>
      <c r="K1541" s="444"/>
      <c r="L1541" s="466"/>
      <c r="M1541" s="310"/>
      <c r="N1541" s="551">
        <v>6.51</v>
      </c>
      <c r="O1541" s="444"/>
    </row>
    <row r="1542" spans="1:15">
      <c r="A1542" s="464"/>
      <c r="B1542" s="464"/>
      <c r="C1542" s="1010" t="s">
        <v>1818</v>
      </c>
      <c r="D1542" s="1011"/>
      <c r="E1542" s="1011"/>
      <c r="F1542" s="1012"/>
      <c r="G1542" s="437" t="s">
        <v>61</v>
      </c>
      <c r="H1542" s="462"/>
      <c r="I1542" s="444"/>
      <c r="J1542" s="444"/>
      <c r="K1542" s="444"/>
      <c r="L1542" s="466"/>
      <c r="M1542" s="310"/>
      <c r="N1542" s="551">
        <v>2.2999999999999998</v>
      </c>
      <c r="O1542" s="444"/>
    </row>
    <row r="1543" spans="1:15">
      <c r="A1543" s="464"/>
      <c r="B1543" s="464"/>
      <c r="C1543" s="1010" t="s">
        <v>1819</v>
      </c>
      <c r="D1543" s="1011"/>
      <c r="E1543" s="1011"/>
      <c r="F1543" s="1012"/>
      <c r="G1543" s="437" t="s">
        <v>61</v>
      </c>
      <c r="H1543" s="462"/>
      <c r="I1543" s="444"/>
      <c r="J1543" s="444"/>
      <c r="K1543" s="444"/>
      <c r="L1543" s="466"/>
      <c r="M1543" s="310"/>
      <c r="N1543" s="551">
        <v>3.3</v>
      </c>
      <c r="O1543" s="444"/>
    </row>
    <row r="1544" spans="1:15">
      <c r="A1544" s="464"/>
      <c r="B1544" s="464"/>
      <c r="C1544" s="1010" t="s">
        <v>1820</v>
      </c>
      <c r="D1544" s="1011"/>
      <c r="E1544" s="1011"/>
      <c r="F1544" s="1012"/>
      <c r="G1544" s="437" t="s">
        <v>61</v>
      </c>
      <c r="H1544" s="462"/>
      <c r="I1544" s="444"/>
      <c r="J1544" s="444"/>
      <c r="K1544" s="444"/>
      <c r="L1544" s="466"/>
      <c r="M1544" s="310"/>
      <c r="N1544" s="551">
        <v>16.89</v>
      </c>
      <c r="O1544" s="444"/>
    </row>
    <row r="1545" spans="1:15">
      <c r="A1545" s="464"/>
      <c r="B1545" s="464"/>
      <c r="C1545" s="1010" t="s">
        <v>1821</v>
      </c>
      <c r="D1545" s="1011"/>
      <c r="E1545" s="1011"/>
      <c r="F1545" s="1012"/>
      <c r="G1545" s="437" t="s">
        <v>61</v>
      </c>
      <c r="H1545" s="462"/>
      <c r="I1545" s="444"/>
      <c r="J1545" s="444"/>
      <c r="K1545" s="444"/>
      <c r="L1545" s="466"/>
      <c r="M1545" s="310"/>
      <c r="N1545" s="551">
        <v>11.36</v>
      </c>
      <c r="O1545" s="444"/>
    </row>
    <row r="1546" spans="1:15">
      <c r="A1546" s="464"/>
      <c r="B1546" s="464"/>
      <c r="C1546" s="1010" t="s">
        <v>1979</v>
      </c>
      <c r="D1546" s="1011"/>
      <c r="E1546" s="1011"/>
      <c r="F1546" s="1012"/>
      <c r="G1546" s="437" t="s">
        <v>61</v>
      </c>
      <c r="H1546" s="462"/>
      <c r="I1546" s="444"/>
      <c r="J1546" s="444"/>
      <c r="K1546" s="444"/>
      <c r="L1546" s="466"/>
      <c r="M1546" s="313"/>
      <c r="N1546" s="551">
        <v>2.4700000000000002</v>
      </c>
      <c r="O1546" s="444"/>
    </row>
    <row r="1547" spans="1:15">
      <c r="A1547" s="464"/>
      <c r="B1547" s="464"/>
      <c r="C1547" s="1010" t="s">
        <v>1842</v>
      </c>
      <c r="D1547" s="1011"/>
      <c r="E1547" s="1011"/>
      <c r="F1547" s="1012"/>
      <c r="G1547" s="437" t="s">
        <v>61</v>
      </c>
      <c r="H1547" s="462"/>
      <c r="I1547" s="444"/>
      <c r="J1547" s="444"/>
      <c r="K1547" s="444"/>
      <c r="L1547" s="466"/>
      <c r="M1547" s="608"/>
      <c r="N1547" s="551">
        <v>40.64</v>
      </c>
      <c r="O1547" s="444"/>
    </row>
    <row r="1548" spans="1:15">
      <c r="A1548" s="342"/>
      <c r="B1548" s="464"/>
      <c r="C1548" s="1010" t="s">
        <v>1843</v>
      </c>
      <c r="D1548" s="1011"/>
      <c r="E1548" s="1011"/>
      <c r="F1548" s="1012"/>
      <c r="G1548" s="437" t="s">
        <v>61</v>
      </c>
      <c r="H1548" s="462"/>
      <c r="I1548" s="444"/>
      <c r="J1548" s="444"/>
      <c r="K1548" s="444"/>
      <c r="L1548" s="466"/>
      <c r="M1548" s="608"/>
      <c r="N1548" s="551">
        <v>5.35</v>
      </c>
      <c r="O1548" s="340"/>
    </row>
    <row r="1549" spans="1:15">
      <c r="A1549" s="342"/>
      <c r="B1549" s="464"/>
      <c r="C1549" s="1010" t="s">
        <v>1830</v>
      </c>
      <c r="D1549" s="1011"/>
      <c r="E1549" s="1011"/>
      <c r="F1549" s="1012"/>
      <c r="G1549" s="437" t="s">
        <v>61</v>
      </c>
      <c r="H1549" s="462"/>
      <c r="I1549" s="444"/>
      <c r="J1549" s="444"/>
      <c r="K1549" s="444"/>
      <c r="L1549" s="553"/>
      <c r="M1549" s="608"/>
      <c r="N1549" s="551">
        <v>10.9</v>
      </c>
      <c r="O1549" s="340"/>
    </row>
    <row r="1550" spans="1:15">
      <c r="A1550" s="342"/>
      <c r="B1550" s="464"/>
      <c r="C1550" s="1010" t="s">
        <v>1824</v>
      </c>
      <c r="D1550" s="1011"/>
      <c r="E1550" s="1011"/>
      <c r="F1550" s="1012"/>
      <c r="G1550" s="437" t="s">
        <v>61</v>
      </c>
      <c r="H1550" s="462"/>
      <c r="I1550" s="444"/>
      <c r="J1550" s="444"/>
      <c r="K1550" s="444"/>
      <c r="L1550" s="553"/>
      <c r="M1550" s="608"/>
      <c r="N1550" s="551">
        <v>18.600000000000001</v>
      </c>
      <c r="O1550" s="340"/>
    </row>
    <row r="1551" spans="1:15">
      <c r="A1551" s="342"/>
      <c r="B1551" s="464"/>
      <c r="C1551" s="1010" t="s">
        <v>1980</v>
      </c>
      <c r="D1551" s="1011"/>
      <c r="E1551" s="1011"/>
      <c r="F1551" s="1012"/>
      <c r="G1551" s="437" t="s">
        <v>61</v>
      </c>
      <c r="H1551" s="462"/>
      <c r="I1551" s="444"/>
      <c r="J1551" s="444"/>
      <c r="K1551" s="444"/>
      <c r="L1551" s="466"/>
      <c r="M1551" s="313"/>
      <c r="N1551" s="551">
        <v>4.72</v>
      </c>
      <c r="O1551" s="340"/>
    </row>
    <row r="1552" spans="1:15">
      <c r="A1552" s="342"/>
      <c r="B1552" s="464"/>
      <c r="C1552" s="1010" t="s">
        <v>1981</v>
      </c>
      <c r="D1552" s="1011"/>
      <c r="E1552" s="1011"/>
      <c r="F1552" s="1012"/>
      <c r="G1552" s="437" t="s">
        <v>61</v>
      </c>
      <c r="H1552" s="462"/>
      <c r="I1552" s="444"/>
      <c r="J1552" s="444"/>
      <c r="K1552" s="444"/>
      <c r="L1552" s="466"/>
      <c r="M1552" s="313"/>
      <c r="N1552" s="551">
        <v>4.72</v>
      </c>
      <c r="O1552" s="340"/>
    </row>
    <row r="1553" spans="1:24">
      <c r="A1553" s="342"/>
      <c r="B1553" s="464"/>
      <c r="C1553" s="1010" t="s">
        <v>1830</v>
      </c>
      <c r="D1553" s="1011"/>
      <c r="E1553" s="1011"/>
      <c r="F1553" s="1012"/>
      <c r="G1553" s="437" t="s">
        <v>61</v>
      </c>
      <c r="H1553" s="462"/>
      <c r="I1553" s="444"/>
      <c r="J1553" s="444"/>
      <c r="K1553" s="444"/>
      <c r="L1553" s="466"/>
      <c r="M1553" s="313"/>
      <c r="N1553" s="551">
        <f>3.24+8.46</f>
        <v>11.700000000000001</v>
      </c>
      <c r="O1553" s="340"/>
    </row>
    <row r="1554" spans="1:24">
      <c r="A1554" s="342"/>
      <c r="B1554" s="464"/>
      <c r="C1554" s="1010" t="s">
        <v>1982</v>
      </c>
      <c r="D1554" s="1011"/>
      <c r="E1554" s="1011"/>
      <c r="F1554" s="1012"/>
      <c r="G1554" s="437" t="s">
        <v>61</v>
      </c>
      <c r="H1554" s="444"/>
      <c r="I1554" s="444"/>
      <c r="J1554" s="307"/>
      <c r="K1554" s="307"/>
      <c r="L1554" s="307"/>
      <c r="M1554" s="608"/>
      <c r="N1554" s="551">
        <v>37.549999999999997</v>
      </c>
      <c r="O1554" s="340"/>
    </row>
    <row r="1555" spans="1:24">
      <c r="A1555" s="342"/>
      <c r="B1555" s="464"/>
      <c r="C1555" s="1010" t="s">
        <v>1983</v>
      </c>
      <c r="D1555" s="1011"/>
      <c r="E1555" s="1011"/>
      <c r="F1555" s="1012"/>
      <c r="G1555" s="437" t="s">
        <v>61</v>
      </c>
      <c r="H1555" s="462"/>
      <c r="I1555" s="444"/>
      <c r="J1555" s="697"/>
      <c r="K1555" s="697"/>
      <c r="L1555" s="697"/>
      <c r="M1555" s="313"/>
      <c r="N1555" s="551">
        <v>3.24</v>
      </c>
      <c r="O1555" s="340"/>
    </row>
    <row r="1556" spans="1:24">
      <c r="A1556" s="342"/>
      <c r="B1556" s="464"/>
      <c r="C1556" s="1010" t="s">
        <v>1984</v>
      </c>
      <c r="D1556" s="1011"/>
      <c r="E1556" s="1011"/>
      <c r="F1556" s="1012"/>
      <c r="G1556" s="437" t="s">
        <v>61</v>
      </c>
      <c r="H1556" s="462"/>
      <c r="I1556" s="444"/>
      <c r="J1556" s="444"/>
      <c r="K1556" s="697"/>
      <c r="L1556" s="553"/>
      <c r="M1556" s="313"/>
      <c r="N1556" s="551">
        <v>3.24</v>
      </c>
      <c r="O1556" s="340"/>
    </row>
    <row r="1557" spans="1:24">
      <c r="A1557" s="342"/>
      <c r="B1557" s="464"/>
      <c r="C1557" s="1010" t="s">
        <v>1832</v>
      </c>
      <c r="D1557" s="1011"/>
      <c r="E1557" s="1011"/>
      <c r="F1557" s="1012"/>
      <c r="G1557" s="437" t="s">
        <v>61</v>
      </c>
      <c r="H1557" s="462"/>
      <c r="I1557" s="444"/>
      <c r="J1557" s="444"/>
      <c r="K1557" s="697"/>
      <c r="L1557" s="553"/>
      <c r="M1557" s="313"/>
      <c r="N1557" s="551">
        <v>1.98</v>
      </c>
      <c r="O1557" s="340"/>
    </row>
    <row r="1558" spans="1:24">
      <c r="A1558" s="342"/>
      <c r="B1558" s="464"/>
      <c r="C1558" s="1010" t="s">
        <v>1833</v>
      </c>
      <c r="D1558" s="1011"/>
      <c r="E1558" s="1011"/>
      <c r="F1558" s="1012"/>
      <c r="G1558" s="437" t="s">
        <v>61</v>
      </c>
      <c r="H1558" s="462"/>
      <c r="I1558" s="444"/>
      <c r="J1558" s="444"/>
      <c r="K1558" s="697"/>
      <c r="L1558" s="553"/>
      <c r="M1558" s="313"/>
      <c r="N1558" s="551">
        <v>1.98</v>
      </c>
      <c r="O1558" s="340"/>
    </row>
    <row r="1559" spans="1:24">
      <c r="A1559" s="342"/>
      <c r="B1559" s="464"/>
      <c r="C1559" s="1010" t="s">
        <v>2008</v>
      </c>
      <c r="D1559" s="1011"/>
      <c r="E1559" s="1011"/>
      <c r="F1559" s="1012"/>
      <c r="G1559" s="437" t="s">
        <v>61</v>
      </c>
      <c r="H1559" s="462"/>
      <c r="I1559" s="444"/>
      <c r="J1559" s="444"/>
      <c r="K1559" s="697"/>
      <c r="L1559" s="553"/>
      <c r="M1559" s="313"/>
      <c r="N1559" s="551">
        <v>64.452799999999996</v>
      </c>
      <c r="O1559" s="340"/>
    </row>
    <row r="1560" spans="1:24" ht="12.75" customHeight="1">
      <c r="A1560" s="467" t="s">
        <v>11</v>
      </c>
      <c r="B1560" s="433" t="s">
        <v>13</v>
      </c>
      <c r="C1560" s="1037" t="s">
        <v>1443</v>
      </c>
      <c r="D1560" s="1037"/>
      <c r="E1560" s="1037"/>
      <c r="F1560" s="1037"/>
      <c r="G1560" s="433" t="s">
        <v>15</v>
      </c>
      <c r="H1560" s="433" t="s">
        <v>1444</v>
      </c>
      <c r="I1560" s="433" t="s">
        <v>1445</v>
      </c>
      <c r="J1560" s="433" t="s">
        <v>1446</v>
      </c>
      <c r="K1560" s="433" t="s">
        <v>1447</v>
      </c>
      <c r="L1560" s="433" t="s">
        <v>1448</v>
      </c>
      <c r="M1560" s="433" t="s">
        <v>1457</v>
      </c>
      <c r="N1560" s="433" t="s">
        <v>1450</v>
      </c>
      <c r="O1560" s="433" t="s">
        <v>1451</v>
      </c>
    </row>
    <row r="1561" spans="1:24" ht="12.75" customHeight="1">
      <c r="A1561" s="376"/>
      <c r="B1561" s="376" t="str">
        <f>ORÇAMENTO!C180</f>
        <v>11.00</v>
      </c>
      <c r="C1561" s="1028" t="str">
        <f>ORÇAMENTO!D180</f>
        <v>PAVIMENTAÇÕES</v>
      </c>
      <c r="D1561" s="1028"/>
      <c r="E1561" s="1028"/>
      <c r="F1561" s="1028"/>
      <c r="G1561" s="1040"/>
      <c r="H1561" s="1040"/>
      <c r="I1561" s="1040"/>
      <c r="J1561" s="1040"/>
      <c r="K1561" s="1040"/>
      <c r="L1561" s="1040"/>
      <c r="M1561" s="1040"/>
      <c r="N1561" s="1040"/>
      <c r="O1561" s="1040"/>
    </row>
    <row r="1562" spans="1:24" ht="12.75" customHeight="1">
      <c r="A1562" s="376"/>
      <c r="B1562" s="376" t="str">
        <f>ORÇAMENTO!C181</f>
        <v>11.01</v>
      </c>
      <c r="C1562" s="1028" t="str">
        <f>ORÇAMENTO!D181</f>
        <v>BASE PARA PISO</v>
      </c>
      <c r="D1562" s="1028"/>
      <c r="E1562" s="1028"/>
      <c r="F1562" s="1028"/>
      <c r="G1562" s="1040"/>
      <c r="H1562" s="1040"/>
      <c r="I1562" s="1040"/>
      <c r="J1562" s="1040"/>
      <c r="K1562" s="1040"/>
      <c r="L1562" s="1040"/>
      <c r="M1562" s="1040"/>
      <c r="N1562" s="1040"/>
      <c r="O1562" s="1040"/>
    </row>
    <row r="1563" spans="1:24" ht="29.25" customHeight="1">
      <c r="A1563" s="344">
        <f>ORÇAMENTO!A132</f>
        <v>8953</v>
      </c>
      <c r="B1563" s="344" t="str">
        <f>ORÇAMENTO!C182</f>
        <v>11.01.01</v>
      </c>
      <c r="C1563" s="1014" t="str">
        <f>ORÇAMENTO!D182</f>
        <v>APLICAÇÃO DE LONA PLÁSTICA PARA EXECUÇÃO DE PAVIMENTOS DE CONCRETO. AF_04/2022</v>
      </c>
      <c r="D1563" s="1014"/>
      <c r="E1563" s="1014"/>
      <c r="F1563" s="1014"/>
      <c r="G1563" s="465" t="str">
        <f>ORÇAMENTO!E182</f>
        <v>M²</v>
      </c>
      <c r="H1563" s="436"/>
      <c r="I1563" s="345"/>
      <c r="J1563" s="429"/>
      <c r="K1563" s="345"/>
      <c r="L1563" s="429"/>
      <c r="M1563" s="345"/>
      <c r="N1563" s="429">
        <f>SUM(N1564:N1607)</f>
        <v>898.47999999999979</v>
      </c>
      <c r="O1563" s="429"/>
      <c r="U1563" s="850"/>
      <c r="V1563" s="850"/>
      <c r="W1563" s="850"/>
      <c r="X1563" s="850"/>
    </row>
    <row r="1564" spans="1:24" ht="12.75" customHeight="1">
      <c r="A1564" s="376"/>
      <c r="B1564" s="468"/>
      <c r="C1564" s="1087" t="s">
        <v>1836</v>
      </c>
      <c r="D1564" s="1088"/>
      <c r="E1564" s="1088"/>
      <c r="F1564" s="1089"/>
      <c r="G1564" s="343" t="s">
        <v>61</v>
      </c>
      <c r="H1564" s="443"/>
      <c r="I1564" s="340"/>
      <c r="J1564" s="340"/>
      <c r="K1564" s="697"/>
      <c r="L1564" s="553"/>
      <c r="M1564" s="313"/>
      <c r="N1564" s="551">
        <v>13.838000000000001</v>
      </c>
      <c r="O1564" s="119"/>
      <c r="U1564" s="850"/>
      <c r="V1564" s="856">
        <v>12.58</v>
      </c>
      <c r="W1564" s="850">
        <v>1.1000000000000001</v>
      </c>
      <c r="X1564" s="850">
        <f>V1564*W1564</f>
        <v>13.838000000000001</v>
      </c>
    </row>
    <row r="1565" spans="1:24" ht="12.75" customHeight="1">
      <c r="A1565" s="376"/>
      <c r="B1565" s="468"/>
      <c r="C1565" s="1087" t="s">
        <v>1837</v>
      </c>
      <c r="D1565" s="1088"/>
      <c r="E1565" s="1088"/>
      <c r="F1565" s="1089"/>
      <c r="G1565" s="343" t="s">
        <v>61</v>
      </c>
      <c r="H1565" s="443"/>
      <c r="I1565" s="340"/>
      <c r="J1565" s="340"/>
      <c r="K1565" s="697"/>
      <c r="L1565" s="553"/>
      <c r="M1565" s="313"/>
      <c r="N1565" s="551">
        <v>14.168000000000003</v>
      </c>
      <c r="O1565" s="119"/>
      <c r="U1565" s="850"/>
      <c r="V1565" s="856">
        <v>12.88</v>
      </c>
      <c r="W1565" s="850">
        <v>1.1000000000000001</v>
      </c>
      <c r="X1565" s="850">
        <f t="shared" ref="X1565:X1607" si="64">V1565*W1565</f>
        <v>14.168000000000003</v>
      </c>
    </row>
    <row r="1566" spans="1:24">
      <c r="A1566" s="376"/>
      <c r="B1566" s="468"/>
      <c r="C1566" s="1001" t="s">
        <v>1977</v>
      </c>
      <c r="D1566" s="1035"/>
      <c r="E1566" s="1035"/>
      <c r="F1566" s="1036"/>
      <c r="G1566" s="343" t="s">
        <v>61</v>
      </c>
      <c r="H1566" s="443"/>
      <c r="I1566" s="340"/>
      <c r="J1566" s="340"/>
      <c r="K1566" s="340"/>
      <c r="L1566" s="382"/>
      <c r="M1566" s="382"/>
      <c r="N1566" s="118">
        <v>16.230500000000003</v>
      </c>
      <c r="O1566" s="119"/>
      <c r="U1566" s="850"/>
      <c r="V1566" s="852">
        <v>14.755000000000001</v>
      </c>
      <c r="W1566" s="850">
        <v>1.1000000000000001</v>
      </c>
      <c r="X1566" s="850">
        <f t="shared" si="64"/>
        <v>16.230500000000003</v>
      </c>
    </row>
    <row r="1567" spans="1:24">
      <c r="A1567" s="376"/>
      <c r="B1567" s="468"/>
      <c r="C1567" s="1001" t="s">
        <v>1978</v>
      </c>
      <c r="D1567" s="1035"/>
      <c r="E1567" s="1035"/>
      <c r="F1567" s="1036"/>
      <c r="G1567" s="343" t="s">
        <v>61</v>
      </c>
      <c r="H1567" s="443"/>
      <c r="I1567" s="340"/>
      <c r="J1567" s="340"/>
      <c r="K1567" s="340"/>
      <c r="L1567" s="382"/>
      <c r="M1567" s="382"/>
      <c r="N1567" s="118">
        <v>2.2440000000000002</v>
      </c>
      <c r="O1567" s="119"/>
      <c r="U1567" s="850"/>
      <c r="V1567" s="852">
        <v>2.04</v>
      </c>
      <c r="W1567" s="850">
        <v>1.1000000000000001</v>
      </c>
      <c r="X1567" s="850">
        <f t="shared" si="64"/>
        <v>2.2440000000000002</v>
      </c>
    </row>
    <row r="1568" spans="1:24">
      <c r="A1568" s="376"/>
      <c r="B1568" s="468"/>
      <c r="C1568" s="1001" t="s">
        <v>1839</v>
      </c>
      <c r="D1568" s="1035"/>
      <c r="E1568" s="1035"/>
      <c r="F1568" s="1036"/>
      <c r="G1568" s="343" t="s">
        <v>61</v>
      </c>
      <c r="H1568" s="443"/>
      <c r="I1568" s="340"/>
      <c r="J1568" s="340"/>
      <c r="K1568" s="340"/>
      <c r="L1568" s="382"/>
      <c r="M1568" s="382"/>
      <c r="N1568" s="118">
        <v>16.230500000000003</v>
      </c>
      <c r="O1568" s="119"/>
      <c r="U1568" s="850"/>
      <c r="V1568" s="852">
        <v>14.755000000000001</v>
      </c>
      <c r="W1568" s="850">
        <v>1.1000000000000001</v>
      </c>
      <c r="X1568" s="850">
        <f t="shared" si="64"/>
        <v>16.230500000000003</v>
      </c>
    </row>
    <row r="1569" spans="1:24">
      <c r="A1569" s="376"/>
      <c r="B1569" s="468"/>
      <c r="C1569" s="1001" t="s">
        <v>1840</v>
      </c>
      <c r="D1569" s="1035"/>
      <c r="E1569" s="1035"/>
      <c r="F1569" s="1036"/>
      <c r="G1569" s="343" t="s">
        <v>61</v>
      </c>
      <c r="H1569" s="443"/>
      <c r="I1569" s="340"/>
      <c r="J1569" s="340"/>
      <c r="K1569" s="340"/>
      <c r="L1569" s="382"/>
      <c r="M1569" s="382"/>
      <c r="N1569" s="118">
        <v>2.2440000000000002</v>
      </c>
      <c r="O1569" s="119"/>
      <c r="U1569" s="850"/>
      <c r="V1569" s="852">
        <v>2.04</v>
      </c>
      <c r="W1569" s="850">
        <v>1.1000000000000001</v>
      </c>
      <c r="X1569" s="850">
        <f t="shared" si="64"/>
        <v>2.2440000000000002</v>
      </c>
    </row>
    <row r="1570" spans="1:24">
      <c r="A1570" s="376"/>
      <c r="B1570" s="468"/>
      <c r="C1570" s="1001" t="s">
        <v>1841</v>
      </c>
      <c r="D1570" s="1035"/>
      <c r="E1570" s="1035"/>
      <c r="F1570" s="1036"/>
      <c r="G1570" s="343" t="s">
        <v>61</v>
      </c>
      <c r="H1570" s="443"/>
      <c r="I1570" s="340"/>
      <c r="J1570" s="340"/>
      <c r="K1570" s="340"/>
      <c r="L1570" s="382"/>
      <c r="M1570" s="382"/>
      <c r="N1570" s="118">
        <v>173.66800000000001</v>
      </c>
      <c r="O1570" s="119"/>
      <c r="U1570" s="850"/>
      <c r="V1570" s="852">
        <v>157.88</v>
      </c>
      <c r="W1570" s="850">
        <v>1.1000000000000001</v>
      </c>
      <c r="X1570" s="850">
        <f t="shared" si="64"/>
        <v>173.66800000000001</v>
      </c>
    </row>
    <row r="1571" spans="1:24">
      <c r="A1571" s="376"/>
      <c r="B1571" s="468"/>
      <c r="C1571" s="1001" t="s">
        <v>1825</v>
      </c>
      <c r="D1571" s="1035"/>
      <c r="E1571" s="1035"/>
      <c r="F1571" s="1036"/>
      <c r="G1571" s="343" t="s">
        <v>61</v>
      </c>
      <c r="H1571" s="443"/>
      <c r="I1571" s="340"/>
      <c r="J1571" s="340"/>
      <c r="K1571" s="340"/>
      <c r="L1571" s="382"/>
      <c r="M1571" s="382"/>
      <c r="N1571" s="118">
        <v>25.838999999999999</v>
      </c>
      <c r="O1571" s="119"/>
      <c r="U1571" s="850"/>
      <c r="V1571" s="852">
        <v>23.49</v>
      </c>
      <c r="W1571" s="850">
        <v>1.1000000000000001</v>
      </c>
      <c r="X1571" s="850">
        <f t="shared" si="64"/>
        <v>25.838999999999999</v>
      </c>
    </row>
    <row r="1572" spans="1:24">
      <c r="A1572" s="376"/>
      <c r="B1572" s="468"/>
      <c r="C1572" s="1001" t="s">
        <v>1824</v>
      </c>
      <c r="D1572" s="1035"/>
      <c r="E1572" s="1035"/>
      <c r="F1572" s="1036"/>
      <c r="G1572" s="343" t="s">
        <v>61</v>
      </c>
      <c r="H1572" s="443"/>
      <c r="I1572" s="340"/>
      <c r="J1572" s="340"/>
      <c r="K1572" s="340"/>
      <c r="L1572" s="382"/>
      <c r="M1572" s="382"/>
      <c r="N1572" s="118">
        <v>20.460000000000004</v>
      </c>
      <c r="O1572" s="119"/>
      <c r="U1572" s="850"/>
      <c r="V1572" s="852">
        <v>18.600000000000001</v>
      </c>
      <c r="W1572" s="850">
        <v>1.1000000000000001</v>
      </c>
      <c r="X1572" s="850">
        <f t="shared" si="64"/>
        <v>20.460000000000004</v>
      </c>
    </row>
    <row r="1573" spans="1:24">
      <c r="A1573" s="376"/>
      <c r="B1573" s="468"/>
      <c r="C1573" s="1001" t="s">
        <v>1830</v>
      </c>
      <c r="D1573" s="1035"/>
      <c r="E1573" s="1035"/>
      <c r="F1573" s="1036"/>
      <c r="G1573" s="343" t="s">
        <v>61</v>
      </c>
      <c r="H1573" s="443"/>
      <c r="I1573" s="340"/>
      <c r="J1573" s="340"/>
      <c r="K1573" s="340"/>
      <c r="L1573" s="382"/>
      <c r="M1573" s="382"/>
      <c r="N1573" s="118">
        <v>11.990000000000002</v>
      </c>
      <c r="O1573" s="119"/>
      <c r="U1573" s="850"/>
      <c r="V1573" s="852">
        <v>10.9</v>
      </c>
      <c r="W1573" s="850">
        <v>1.1000000000000001</v>
      </c>
      <c r="X1573" s="850">
        <f t="shared" si="64"/>
        <v>11.990000000000002</v>
      </c>
    </row>
    <row r="1574" spans="1:24">
      <c r="A1574" s="376"/>
      <c r="B1574" s="468"/>
      <c r="C1574" s="1001" t="s">
        <v>1822</v>
      </c>
      <c r="D1574" s="1035"/>
      <c r="E1574" s="1035"/>
      <c r="F1574" s="1036"/>
      <c r="G1574" s="343" t="s">
        <v>61</v>
      </c>
      <c r="H1574" s="443"/>
      <c r="I1574" s="340"/>
      <c r="J1574" s="340"/>
      <c r="K1574" s="340"/>
      <c r="L1574" s="382"/>
      <c r="M1574" s="382"/>
      <c r="N1574" s="118">
        <v>26.015000000000001</v>
      </c>
      <c r="O1574" s="119"/>
      <c r="U1574" s="850"/>
      <c r="V1574" s="852">
        <v>23.65</v>
      </c>
      <c r="W1574" s="850">
        <v>1.1000000000000001</v>
      </c>
      <c r="X1574" s="850">
        <f t="shared" si="64"/>
        <v>26.015000000000001</v>
      </c>
    </row>
    <row r="1575" spans="1:24">
      <c r="A1575" s="376"/>
      <c r="B1575" s="468"/>
      <c r="C1575" s="1001" t="s">
        <v>1823</v>
      </c>
      <c r="D1575" s="1035"/>
      <c r="E1575" s="1035"/>
      <c r="F1575" s="1036"/>
      <c r="G1575" s="343" t="s">
        <v>61</v>
      </c>
      <c r="H1575" s="443"/>
      <c r="I1575" s="340"/>
      <c r="J1575" s="340"/>
      <c r="K1575" s="340"/>
      <c r="L1575" s="382"/>
      <c r="M1575" s="382"/>
      <c r="N1575" s="118">
        <v>2.7170000000000005</v>
      </c>
      <c r="O1575" s="119"/>
      <c r="U1575" s="850"/>
      <c r="V1575" s="852">
        <v>2.4700000000000002</v>
      </c>
      <c r="W1575" s="850">
        <v>1.1000000000000001</v>
      </c>
      <c r="X1575" s="850">
        <f t="shared" si="64"/>
        <v>2.7170000000000005</v>
      </c>
    </row>
    <row r="1576" spans="1:24">
      <c r="A1576" s="376"/>
      <c r="B1576" s="468"/>
      <c r="C1576" s="1001" t="s">
        <v>1842</v>
      </c>
      <c r="D1576" s="1035"/>
      <c r="E1576" s="1035"/>
      <c r="F1576" s="1036"/>
      <c r="G1576" s="343" t="s">
        <v>61</v>
      </c>
      <c r="H1576" s="443"/>
      <c r="I1576" s="340"/>
      <c r="J1576" s="340"/>
      <c r="K1576" s="340"/>
      <c r="L1576" s="459"/>
      <c r="M1576" s="459"/>
      <c r="N1576" s="118">
        <v>44.704000000000008</v>
      </c>
      <c r="O1576" s="119"/>
      <c r="U1576" s="850"/>
      <c r="V1576" s="852">
        <v>40.64</v>
      </c>
      <c r="W1576" s="850">
        <v>1.1000000000000001</v>
      </c>
      <c r="X1576" s="850">
        <f t="shared" si="64"/>
        <v>44.704000000000008</v>
      </c>
    </row>
    <row r="1577" spans="1:24">
      <c r="A1577" s="376"/>
      <c r="B1577" s="468"/>
      <c r="C1577" s="1001" t="s">
        <v>1843</v>
      </c>
      <c r="D1577" s="1035"/>
      <c r="E1577" s="1035"/>
      <c r="F1577" s="1036"/>
      <c r="G1577" s="343" t="s">
        <v>61</v>
      </c>
      <c r="H1577" s="443"/>
      <c r="I1577" s="340"/>
      <c r="J1577" s="340"/>
      <c r="K1577" s="340"/>
      <c r="L1577" s="459"/>
      <c r="M1577" s="459"/>
      <c r="N1577" s="118">
        <v>5.8849999999999998</v>
      </c>
      <c r="O1577" s="119"/>
      <c r="U1577" s="850"/>
      <c r="V1577" s="852">
        <v>5.35</v>
      </c>
      <c r="W1577" s="850">
        <v>1.1000000000000001</v>
      </c>
      <c r="X1577" s="850">
        <f t="shared" si="64"/>
        <v>5.8849999999999998</v>
      </c>
    </row>
    <row r="1578" spans="1:24">
      <c r="A1578" s="376"/>
      <c r="B1578" s="468"/>
      <c r="C1578" s="1001" t="s">
        <v>1814</v>
      </c>
      <c r="D1578" s="1035"/>
      <c r="E1578" s="1035"/>
      <c r="F1578" s="1036"/>
      <c r="G1578" s="343" t="s">
        <v>61</v>
      </c>
      <c r="H1578" s="443"/>
      <c r="I1578" s="340"/>
      <c r="J1578" s="340"/>
      <c r="K1578" s="340"/>
      <c r="L1578" s="459"/>
      <c r="M1578" s="459"/>
      <c r="N1578" s="118">
        <v>8.8000000000000007</v>
      </c>
      <c r="O1578" s="119"/>
      <c r="U1578" s="850"/>
      <c r="V1578" s="852">
        <v>8</v>
      </c>
      <c r="W1578" s="850">
        <v>1.1000000000000001</v>
      </c>
      <c r="X1578" s="850">
        <f t="shared" si="64"/>
        <v>8.8000000000000007</v>
      </c>
    </row>
    <row r="1579" spans="1:24">
      <c r="A1579" s="376"/>
      <c r="B1579" s="468"/>
      <c r="C1579" s="1001" t="s">
        <v>1815</v>
      </c>
      <c r="D1579" s="1035"/>
      <c r="E1579" s="1035"/>
      <c r="F1579" s="1036"/>
      <c r="G1579" s="343" t="s">
        <v>61</v>
      </c>
      <c r="H1579" s="443"/>
      <c r="I1579" s="340"/>
      <c r="J1579" s="340"/>
      <c r="K1579" s="340"/>
      <c r="L1579" s="459"/>
      <c r="M1579" s="459"/>
      <c r="N1579" s="118">
        <v>12.672000000000001</v>
      </c>
      <c r="O1579" s="119"/>
      <c r="U1579" s="850"/>
      <c r="V1579" s="852">
        <v>11.52</v>
      </c>
      <c r="W1579" s="850">
        <v>1.1000000000000001</v>
      </c>
      <c r="X1579" s="850">
        <f t="shared" si="64"/>
        <v>12.672000000000001</v>
      </c>
    </row>
    <row r="1580" spans="1:24">
      <c r="A1580" s="376"/>
      <c r="B1580" s="468"/>
      <c r="C1580" s="1001" t="s">
        <v>1816</v>
      </c>
      <c r="D1580" s="1035"/>
      <c r="E1580" s="1035"/>
      <c r="F1580" s="1036"/>
      <c r="G1580" s="343" t="s">
        <v>61</v>
      </c>
      <c r="H1580" s="443"/>
      <c r="I1580" s="340"/>
      <c r="J1580" s="340"/>
      <c r="K1580" s="340"/>
      <c r="L1580" s="459"/>
      <c r="M1580" s="123"/>
      <c r="N1580" s="118">
        <v>7.1610000000000005</v>
      </c>
      <c r="O1580" s="119"/>
      <c r="U1580" s="850"/>
      <c r="V1580" s="852">
        <v>6.51</v>
      </c>
      <c r="W1580" s="850">
        <v>1.1000000000000001</v>
      </c>
      <c r="X1580" s="850">
        <f t="shared" si="64"/>
        <v>7.1610000000000005</v>
      </c>
    </row>
    <row r="1581" spans="1:24">
      <c r="A1581" s="376"/>
      <c r="B1581" s="468"/>
      <c r="C1581" s="1001" t="s">
        <v>1817</v>
      </c>
      <c r="D1581" s="1035"/>
      <c r="E1581" s="1035"/>
      <c r="F1581" s="1036"/>
      <c r="G1581" s="343" t="s">
        <v>61</v>
      </c>
      <c r="H1581" s="443"/>
      <c r="I1581" s="340"/>
      <c r="J1581" s="340"/>
      <c r="K1581" s="340"/>
      <c r="L1581" s="459"/>
      <c r="M1581" s="123"/>
      <c r="N1581" s="118">
        <v>7.1610000000000005</v>
      </c>
      <c r="O1581" s="119"/>
      <c r="U1581" s="850"/>
      <c r="V1581" s="852">
        <v>6.51</v>
      </c>
      <c r="W1581" s="850">
        <v>1.1000000000000001</v>
      </c>
      <c r="X1581" s="850">
        <f t="shared" si="64"/>
        <v>7.1610000000000005</v>
      </c>
    </row>
    <row r="1582" spans="1:24">
      <c r="A1582" s="376"/>
      <c r="B1582" s="468"/>
      <c r="C1582" s="1001" t="s">
        <v>1818</v>
      </c>
      <c r="D1582" s="1035"/>
      <c r="E1582" s="1035"/>
      <c r="F1582" s="1036"/>
      <c r="G1582" s="343" t="s">
        <v>61</v>
      </c>
      <c r="H1582" s="443"/>
      <c r="I1582" s="340"/>
      <c r="J1582" s="340"/>
      <c r="K1582" s="340"/>
      <c r="L1582" s="459"/>
      <c r="M1582" s="123"/>
      <c r="N1582" s="118">
        <v>2.5299999999999998</v>
      </c>
      <c r="O1582" s="119"/>
      <c r="U1582" s="850"/>
      <c r="V1582" s="852">
        <v>2.2999999999999998</v>
      </c>
      <c r="W1582" s="850">
        <v>1.1000000000000001</v>
      </c>
      <c r="X1582" s="850">
        <f t="shared" si="64"/>
        <v>2.5299999999999998</v>
      </c>
    </row>
    <row r="1583" spans="1:24">
      <c r="A1583" s="376"/>
      <c r="B1583" s="468"/>
      <c r="C1583" s="1001" t="s">
        <v>1819</v>
      </c>
      <c r="D1583" s="1035"/>
      <c r="E1583" s="1035"/>
      <c r="F1583" s="1036"/>
      <c r="G1583" s="343" t="s">
        <v>61</v>
      </c>
      <c r="H1583" s="443"/>
      <c r="I1583" s="340"/>
      <c r="J1583" s="340"/>
      <c r="K1583" s="340"/>
      <c r="L1583" s="459"/>
      <c r="M1583" s="123"/>
      <c r="N1583" s="118">
        <v>3.63</v>
      </c>
      <c r="O1583" s="119"/>
      <c r="U1583" s="850"/>
      <c r="V1583" s="852">
        <v>3.3</v>
      </c>
      <c r="W1583" s="850">
        <v>1.1000000000000001</v>
      </c>
      <c r="X1583" s="850">
        <f t="shared" si="64"/>
        <v>3.63</v>
      </c>
    </row>
    <row r="1584" spans="1:24">
      <c r="A1584" s="376"/>
      <c r="B1584" s="468"/>
      <c r="C1584" s="1001" t="s">
        <v>1820</v>
      </c>
      <c r="D1584" s="1035"/>
      <c r="E1584" s="1035"/>
      <c r="F1584" s="1036"/>
      <c r="G1584" s="343" t="s">
        <v>61</v>
      </c>
      <c r="H1584" s="443"/>
      <c r="I1584" s="340"/>
      <c r="J1584" s="340"/>
      <c r="K1584" s="340"/>
      <c r="L1584" s="459"/>
      <c r="M1584" s="123"/>
      <c r="N1584" s="118">
        <v>18.579000000000001</v>
      </c>
      <c r="O1584" s="119"/>
      <c r="U1584" s="850"/>
      <c r="V1584" s="852">
        <v>16.89</v>
      </c>
      <c r="W1584" s="850">
        <v>1.1000000000000001</v>
      </c>
      <c r="X1584" s="850">
        <f t="shared" si="64"/>
        <v>18.579000000000001</v>
      </c>
    </row>
    <row r="1585" spans="1:24">
      <c r="A1585" s="376"/>
      <c r="B1585" s="468"/>
      <c r="C1585" s="1001" t="s">
        <v>1821</v>
      </c>
      <c r="D1585" s="1035"/>
      <c r="E1585" s="1035"/>
      <c r="F1585" s="1036"/>
      <c r="G1585" s="343" t="s">
        <v>61</v>
      </c>
      <c r="H1585" s="443"/>
      <c r="I1585" s="340"/>
      <c r="J1585" s="340"/>
      <c r="K1585" s="340"/>
      <c r="L1585" s="459"/>
      <c r="M1585" s="123"/>
      <c r="N1585" s="118">
        <v>12.496</v>
      </c>
      <c r="O1585" s="119"/>
      <c r="U1585" s="850"/>
      <c r="V1585" s="852">
        <v>11.36</v>
      </c>
      <c r="W1585" s="850">
        <v>1.1000000000000001</v>
      </c>
      <c r="X1585" s="850">
        <f t="shared" si="64"/>
        <v>12.496</v>
      </c>
    </row>
    <row r="1586" spans="1:24">
      <c r="A1586" s="376"/>
      <c r="B1586" s="468"/>
      <c r="C1586" s="1001" t="s">
        <v>1822</v>
      </c>
      <c r="D1586" s="1035"/>
      <c r="E1586" s="1035"/>
      <c r="F1586" s="1036"/>
      <c r="G1586" s="343" t="s">
        <v>61</v>
      </c>
      <c r="H1586" s="443"/>
      <c r="I1586" s="340"/>
      <c r="J1586" s="340"/>
      <c r="K1586" s="340"/>
      <c r="L1586" s="459"/>
      <c r="M1586" s="123"/>
      <c r="N1586" s="118">
        <v>26.015000000000001</v>
      </c>
      <c r="O1586" s="119"/>
      <c r="U1586" s="850"/>
      <c r="V1586" s="852">
        <v>23.65</v>
      </c>
      <c r="W1586" s="850">
        <v>1.1000000000000001</v>
      </c>
      <c r="X1586" s="850">
        <f t="shared" si="64"/>
        <v>26.015000000000001</v>
      </c>
    </row>
    <row r="1587" spans="1:24">
      <c r="A1587" s="376"/>
      <c r="B1587" s="468"/>
      <c r="C1587" s="1001" t="s">
        <v>1979</v>
      </c>
      <c r="D1587" s="1035"/>
      <c r="E1587" s="1035"/>
      <c r="F1587" s="1036"/>
      <c r="G1587" s="343" t="s">
        <v>61</v>
      </c>
      <c r="H1587" s="443"/>
      <c r="I1587" s="340"/>
      <c r="J1587" s="340"/>
      <c r="K1587" s="340"/>
      <c r="L1587" s="459"/>
      <c r="M1587" s="309"/>
      <c r="N1587" s="118">
        <v>2.7170000000000005</v>
      </c>
      <c r="O1587" s="119"/>
      <c r="U1587" s="850"/>
      <c r="V1587" s="852">
        <v>2.4700000000000002</v>
      </c>
      <c r="W1587" s="850">
        <v>1.1000000000000001</v>
      </c>
      <c r="X1587" s="850">
        <f t="shared" si="64"/>
        <v>2.7170000000000005</v>
      </c>
    </row>
    <row r="1588" spans="1:24">
      <c r="A1588" s="376"/>
      <c r="B1588" s="468"/>
      <c r="C1588" s="1001" t="s">
        <v>1842</v>
      </c>
      <c r="D1588" s="1035"/>
      <c r="E1588" s="1035"/>
      <c r="F1588" s="1036"/>
      <c r="G1588" s="343" t="s">
        <v>61</v>
      </c>
      <c r="H1588" s="443"/>
      <c r="I1588" s="340"/>
      <c r="J1588" s="340"/>
      <c r="K1588" s="340"/>
      <c r="L1588" s="459"/>
      <c r="M1588" s="587"/>
      <c r="N1588" s="118">
        <v>44.704000000000008</v>
      </c>
      <c r="O1588" s="119"/>
      <c r="U1588" s="850"/>
      <c r="V1588" s="852">
        <v>40.64</v>
      </c>
      <c r="W1588" s="850">
        <v>1.1000000000000001</v>
      </c>
      <c r="X1588" s="850">
        <f t="shared" si="64"/>
        <v>44.704000000000008</v>
      </c>
    </row>
    <row r="1589" spans="1:24">
      <c r="A1589" s="376"/>
      <c r="B1589" s="468"/>
      <c r="C1589" s="1001" t="s">
        <v>1843</v>
      </c>
      <c r="D1589" s="1035"/>
      <c r="E1589" s="1035"/>
      <c r="F1589" s="1036"/>
      <c r="G1589" s="343" t="s">
        <v>61</v>
      </c>
      <c r="H1589" s="443"/>
      <c r="I1589" s="340"/>
      <c r="J1589" s="340"/>
      <c r="K1589" s="340"/>
      <c r="L1589" s="459"/>
      <c r="M1589" s="587"/>
      <c r="N1589" s="118">
        <v>5.8849999999999998</v>
      </c>
      <c r="O1589" s="119"/>
      <c r="U1589" s="850"/>
      <c r="V1589" s="852">
        <v>5.35</v>
      </c>
      <c r="W1589" s="850">
        <v>1.1000000000000001</v>
      </c>
      <c r="X1589" s="850">
        <f t="shared" si="64"/>
        <v>5.8849999999999998</v>
      </c>
    </row>
    <row r="1590" spans="1:24">
      <c r="A1590" s="376"/>
      <c r="B1590" s="468"/>
      <c r="C1590" s="1001" t="s">
        <v>1830</v>
      </c>
      <c r="D1590" s="1035"/>
      <c r="E1590" s="1035"/>
      <c r="F1590" s="1036"/>
      <c r="G1590" s="343" t="s">
        <v>61</v>
      </c>
      <c r="H1590" s="443"/>
      <c r="I1590" s="340"/>
      <c r="J1590" s="340"/>
      <c r="K1590" s="340"/>
      <c r="L1590" s="457"/>
      <c r="M1590" s="587"/>
      <c r="N1590" s="118">
        <v>11.990000000000002</v>
      </c>
      <c r="O1590" s="119"/>
      <c r="U1590" s="850"/>
      <c r="V1590" s="852">
        <v>10.9</v>
      </c>
      <c r="W1590" s="850">
        <v>1.1000000000000001</v>
      </c>
      <c r="X1590" s="850">
        <f t="shared" si="64"/>
        <v>11.990000000000002</v>
      </c>
    </row>
    <row r="1591" spans="1:24">
      <c r="A1591" s="376"/>
      <c r="B1591" s="468"/>
      <c r="C1591" s="1001" t="s">
        <v>1824</v>
      </c>
      <c r="D1591" s="1035"/>
      <c r="E1591" s="1035"/>
      <c r="F1591" s="1036"/>
      <c r="G1591" s="343" t="s">
        <v>61</v>
      </c>
      <c r="H1591" s="443"/>
      <c r="I1591" s="340"/>
      <c r="J1591" s="340"/>
      <c r="K1591" s="340"/>
      <c r="L1591" s="457"/>
      <c r="M1591" s="587"/>
      <c r="N1591" s="118">
        <v>20.460000000000004</v>
      </c>
      <c r="O1591" s="119"/>
      <c r="U1591" s="850"/>
      <c r="V1591" s="852">
        <v>18.600000000000001</v>
      </c>
      <c r="W1591" s="850">
        <v>1.1000000000000001</v>
      </c>
      <c r="X1591" s="850">
        <f t="shared" si="64"/>
        <v>20.460000000000004</v>
      </c>
    </row>
    <row r="1592" spans="1:24">
      <c r="A1592" s="376"/>
      <c r="B1592" s="468"/>
      <c r="C1592" s="1001" t="s">
        <v>1855</v>
      </c>
      <c r="D1592" s="1035"/>
      <c r="E1592" s="1035"/>
      <c r="F1592" s="1036"/>
      <c r="G1592" s="343" t="s">
        <v>61</v>
      </c>
      <c r="H1592" s="443"/>
      <c r="I1592" s="340"/>
      <c r="J1592" s="340"/>
      <c r="K1592" s="340"/>
      <c r="L1592" s="457"/>
      <c r="M1592" s="587"/>
      <c r="N1592" s="118">
        <v>34.452000000000005</v>
      </c>
      <c r="O1592" s="119"/>
      <c r="U1592" s="850"/>
      <c r="V1592" s="852">
        <v>31.32</v>
      </c>
      <c r="W1592" s="850">
        <v>1.1000000000000001</v>
      </c>
      <c r="X1592" s="850">
        <f t="shared" si="64"/>
        <v>34.452000000000005</v>
      </c>
    </row>
    <row r="1593" spans="1:24">
      <c r="A1593" s="376"/>
      <c r="B1593" s="468"/>
      <c r="C1593" s="1001" t="s">
        <v>1826</v>
      </c>
      <c r="D1593" s="1035"/>
      <c r="E1593" s="1035"/>
      <c r="F1593" s="1036"/>
      <c r="G1593" s="343" t="s">
        <v>61</v>
      </c>
      <c r="H1593" s="443"/>
      <c r="I1593" s="340"/>
      <c r="J1593" s="340"/>
      <c r="K1593" s="340"/>
      <c r="L1593" s="459"/>
      <c r="M1593" s="309"/>
      <c r="N1593" s="118">
        <v>5.6980000000000004</v>
      </c>
      <c r="O1593" s="119"/>
      <c r="U1593" s="850"/>
      <c r="V1593" s="852">
        <v>5.18</v>
      </c>
      <c r="W1593" s="850">
        <v>1.1000000000000001</v>
      </c>
      <c r="X1593" s="850">
        <f t="shared" si="64"/>
        <v>5.6980000000000004</v>
      </c>
    </row>
    <row r="1594" spans="1:24">
      <c r="A1594" s="376"/>
      <c r="B1594" s="468"/>
      <c r="C1594" s="1001" t="s">
        <v>1980</v>
      </c>
      <c r="D1594" s="1035"/>
      <c r="E1594" s="1035"/>
      <c r="F1594" s="1036"/>
      <c r="G1594" s="343" t="s">
        <v>61</v>
      </c>
      <c r="H1594" s="443"/>
      <c r="I1594" s="340"/>
      <c r="J1594" s="340"/>
      <c r="K1594" s="340"/>
      <c r="L1594" s="459"/>
      <c r="M1594" s="309"/>
      <c r="N1594" s="118">
        <v>5.1920000000000002</v>
      </c>
      <c r="O1594" s="119"/>
      <c r="U1594" s="850"/>
      <c r="V1594" s="852">
        <v>4.72</v>
      </c>
      <c r="W1594" s="850">
        <v>1.1000000000000001</v>
      </c>
      <c r="X1594" s="850">
        <f t="shared" si="64"/>
        <v>5.1920000000000002</v>
      </c>
    </row>
    <row r="1595" spans="1:24">
      <c r="A1595" s="376"/>
      <c r="B1595" s="468"/>
      <c r="C1595" s="1001" t="s">
        <v>1981</v>
      </c>
      <c r="D1595" s="1035"/>
      <c r="E1595" s="1035"/>
      <c r="F1595" s="1036"/>
      <c r="G1595" s="343" t="s">
        <v>61</v>
      </c>
      <c r="H1595" s="443"/>
      <c r="I1595" s="340"/>
      <c r="J1595" s="340"/>
      <c r="K1595" s="340"/>
      <c r="L1595" s="459"/>
      <c r="M1595" s="309"/>
      <c r="N1595" s="118">
        <v>5.1920000000000002</v>
      </c>
      <c r="O1595" s="119"/>
      <c r="U1595" s="850"/>
      <c r="V1595" s="852">
        <v>4.72</v>
      </c>
      <c r="W1595" s="850">
        <v>1.1000000000000001</v>
      </c>
      <c r="X1595" s="850">
        <f t="shared" si="64"/>
        <v>5.1920000000000002</v>
      </c>
    </row>
    <row r="1596" spans="1:24">
      <c r="A1596" s="376"/>
      <c r="B1596" s="468"/>
      <c r="C1596" s="1001" t="s">
        <v>1830</v>
      </c>
      <c r="D1596" s="1035"/>
      <c r="E1596" s="1035"/>
      <c r="F1596" s="1036"/>
      <c r="G1596" s="343" t="s">
        <v>61</v>
      </c>
      <c r="H1596" s="443"/>
      <c r="I1596" s="340"/>
      <c r="J1596" s="340"/>
      <c r="K1596" s="340"/>
      <c r="L1596" s="459"/>
      <c r="M1596" s="309"/>
      <c r="N1596" s="118">
        <v>12.870000000000003</v>
      </c>
      <c r="O1596" s="119"/>
      <c r="U1596" s="850"/>
      <c r="V1596" s="852">
        <f>3.24+8.46</f>
        <v>11.700000000000001</v>
      </c>
      <c r="W1596" s="850">
        <v>1.1000000000000001</v>
      </c>
      <c r="X1596" s="850">
        <f t="shared" si="64"/>
        <v>12.870000000000003</v>
      </c>
    </row>
    <row r="1597" spans="1:24">
      <c r="A1597" s="376"/>
      <c r="B1597" s="468"/>
      <c r="C1597" s="1001" t="s">
        <v>1831</v>
      </c>
      <c r="D1597" s="1035"/>
      <c r="E1597" s="1035"/>
      <c r="F1597" s="1036"/>
      <c r="G1597" s="343" t="s">
        <v>61</v>
      </c>
      <c r="H1597" s="443"/>
      <c r="I1597" s="340"/>
      <c r="J1597" s="340"/>
      <c r="K1597" s="340"/>
      <c r="L1597" s="459"/>
      <c r="M1597" s="309"/>
      <c r="N1597" s="118">
        <v>148.5</v>
      </c>
      <c r="O1597" s="119"/>
      <c r="U1597" s="850"/>
      <c r="V1597" s="852">
        <v>135</v>
      </c>
      <c r="W1597" s="850">
        <v>1.1000000000000001</v>
      </c>
      <c r="X1597" s="850">
        <f t="shared" si="64"/>
        <v>148.5</v>
      </c>
    </row>
    <row r="1598" spans="1:24">
      <c r="A1598" s="376"/>
      <c r="B1598" s="468"/>
      <c r="C1598" s="1001" t="s">
        <v>1982</v>
      </c>
      <c r="D1598" s="1035"/>
      <c r="E1598" s="1035"/>
      <c r="F1598" s="1036"/>
      <c r="G1598" s="343" t="s">
        <v>61</v>
      </c>
      <c r="H1598" s="340"/>
      <c r="I1598" s="340"/>
      <c r="J1598" s="119"/>
      <c r="K1598" s="119"/>
      <c r="L1598" s="119"/>
      <c r="M1598" s="587"/>
      <c r="N1598" s="118">
        <v>41.305</v>
      </c>
      <c r="O1598" s="119"/>
      <c r="U1598" s="850"/>
      <c r="V1598" s="852">
        <v>37.549999999999997</v>
      </c>
      <c r="W1598" s="850">
        <v>1.1000000000000001</v>
      </c>
      <c r="X1598" s="850">
        <f t="shared" si="64"/>
        <v>41.305</v>
      </c>
    </row>
    <row r="1599" spans="1:24">
      <c r="A1599" s="376"/>
      <c r="B1599" s="468"/>
      <c r="C1599" s="1001" t="s">
        <v>1983</v>
      </c>
      <c r="D1599" s="1035"/>
      <c r="E1599" s="1035"/>
      <c r="F1599" s="1036"/>
      <c r="G1599" s="343" t="s">
        <v>61</v>
      </c>
      <c r="H1599" s="443"/>
      <c r="I1599" s="340"/>
      <c r="J1599" s="458"/>
      <c r="K1599" s="458"/>
      <c r="L1599" s="458"/>
      <c r="M1599" s="309"/>
      <c r="N1599" s="118">
        <v>3.5640000000000005</v>
      </c>
      <c r="O1599" s="119"/>
      <c r="U1599" s="850"/>
      <c r="V1599" s="852">
        <v>3.24</v>
      </c>
      <c r="W1599" s="850">
        <v>1.1000000000000001</v>
      </c>
      <c r="X1599" s="850">
        <f t="shared" si="64"/>
        <v>3.5640000000000005</v>
      </c>
    </row>
    <row r="1600" spans="1:24">
      <c r="A1600" s="376"/>
      <c r="B1600" s="468"/>
      <c r="C1600" s="1001" t="s">
        <v>1984</v>
      </c>
      <c r="D1600" s="1035"/>
      <c r="E1600" s="1035"/>
      <c r="F1600" s="1036"/>
      <c r="G1600" s="343" t="s">
        <v>61</v>
      </c>
      <c r="H1600" s="443"/>
      <c r="I1600" s="340"/>
      <c r="J1600" s="340"/>
      <c r="K1600" s="458"/>
      <c r="L1600" s="457"/>
      <c r="M1600" s="309"/>
      <c r="N1600" s="118">
        <v>3.5640000000000005</v>
      </c>
      <c r="O1600" s="119"/>
      <c r="U1600" s="850"/>
      <c r="V1600" s="852">
        <v>3.24</v>
      </c>
      <c r="W1600" s="850">
        <v>1.1000000000000001</v>
      </c>
      <c r="X1600" s="850">
        <f t="shared" si="64"/>
        <v>3.5640000000000005</v>
      </c>
    </row>
    <row r="1601" spans="1:24">
      <c r="A1601" s="376"/>
      <c r="B1601" s="468"/>
      <c r="C1601" s="1001" t="s">
        <v>1832</v>
      </c>
      <c r="D1601" s="1035"/>
      <c r="E1601" s="1035"/>
      <c r="F1601" s="1036"/>
      <c r="G1601" s="343" t="s">
        <v>61</v>
      </c>
      <c r="H1601" s="443"/>
      <c r="I1601" s="340"/>
      <c r="J1601" s="340"/>
      <c r="K1601" s="458"/>
      <c r="L1601" s="457"/>
      <c r="M1601" s="309"/>
      <c r="N1601" s="118">
        <v>2.1779999999999999</v>
      </c>
      <c r="O1601" s="119"/>
      <c r="U1601" s="850"/>
      <c r="V1601" s="852">
        <v>1.98</v>
      </c>
      <c r="W1601" s="850">
        <v>1.1000000000000001</v>
      </c>
      <c r="X1601" s="850">
        <f t="shared" si="64"/>
        <v>2.1779999999999999</v>
      </c>
    </row>
    <row r="1602" spans="1:24">
      <c r="A1602" s="376"/>
      <c r="B1602" s="468"/>
      <c r="C1602" s="1001" t="s">
        <v>1833</v>
      </c>
      <c r="D1602" s="1035"/>
      <c r="E1602" s="1035"/>
      <c r="F1602" s="1036"/>
      <c r="G1602" s="343" t="s">
        <v>61</v>
      </c>
      <c r="H1602" s="443"/>
      <c r="I1602" s="340"/>
      <c r="J1602" s="340"/>
      <c r="K1602" s="458"/>
      <c r="L1602" s="457"/>
      <c r="M1602" s="309"/>
      <c r="N1602" s="118">
        <v>2.1779999999999999</v>
      </c>
      <c r="O1602" s="119"/>
      <c r="U1602" s="850"/>
      <c r="V1602" s="852">
        <v>1.98</v>
      </c>
      <c r="W1602" s="850">
        <v>1.1000000000000001</v>
      </c>
      <c r="X1602" s="850">
        <f t="shared" si="64"/>
        <v>2.1779999999999999</v>
      </c>
    </row>
    <row r="1603" spans="1:24">
      <c r="A1603" s="376"/>
      <c r="B1603" s="468"/>
      <c r="C1603" s="1000" t="s">
        <v>1570</v>
      </c>
      <c r="D1603" s="1000"/>
      <c r="E1603" s="1000"/>
      <c r="F1603" s="1000"/>
      <c r="G1603" s="343" t="s">
        <v>61</v>
      </c>
      <c r="H1603" s="443"/>
      <c r="I1603" s="340">
        <v>1.2</v>
      </c>
      <c r="J1603" s="340"/>
      <c r="K1603" s="119"/>
      <c r="L1603" s="118">
        <v>18.7</v>
      </c>
      <c r="M1603" s="309"/>
      <c r="N1603" s="118">
        <v>24.684000000000001</v>
      </c>
      <c r="O1603" s="119"/>
      <c r="U1603" s="850"/>
      <c r="V1603" s="852">
        <v>22.439999999999998</v>
      </c>
      <c r="W1603" s="850">
        <v>1.1000000000000001</v>
      </c>
      <c r="X1603" s="850">
        <f t="shared" si="64"/>
        <v>24.684000000000001</v>
      </c>
    </row>
    <row r="1604" spans="1:24">
      <c r="A1604" s="376"/>
      <c r="B1604" s="468"/>
      <c r="C1604" s="1000" t="s">
        <v>1571</v>
      </c>
      <c r="D1604" s="1000"/>
      <c r="E1604" s="1000"/>
      <c r="F1604" s="1000"/>
      <c r="G1604" s="343" t="s">
        <v>61</v>
      </c>
      <c r="H1604" s="443"/>
      <c r="I1604" s="340">
        <v>4.4000000000000004</v>
      </c>
      <c r="J1604" s="340"/>
      <c r="K1604" s="119"/>
      <c r="L1604" s="118">
        <v>1.8</v>
      </c>
      <c r="M1604" s="309"/>
      <c r="N1604" s="118">
        <v>8.7120000000000015</v>
      </c>
      <c r="O1604" s="119"/>
      <c r="U1604" s="850"/>
      <c r="V1604" s="852">
        <v>7.9200000000000008</v>
      </c>
      <c r="W1604" s="850">
        <v>1.1000000000000001</v>
      </c>
      <c r="X1604" s="850">
        <f t="shared" si="64"/>
        <v>8.7120000000000015</v>
      </c>
    </row>
    <row r="1605" spans="1:24">
      <c r="A1605" s="376"/>
      <c r="B1605" s="468"/>
      <c r="C1605" s="1000" t="s">
        <v>1572</v>
      </c>
      <c r="D1605" s="1000"/>
      <c r="E1605" s="1000"/>
      <c r="F1605" s="1000"/>
      <c r="G1605" s="343" t="s">
        <v>61</v>
      </c>
      <c r="H1605" s="443"/>
      <c r="I1605" s="340">
        <v>1.2</v>
      </c>
      <c r="J1605" s="340"/>
      <c r="K1605" s="119"/>
      <c r="L1605" s="118">
        <v>13.5</v>
      </c>
      <c r="M1605" s="309"/>
      <c r="N1605" s="118">
        <v>17.82</v>
      </c>
      <c r="O1605" s="119"/>
      <c r="U1605" s="850"/>
      <c r="V1605" s="852">
        <v>16.2</v>
      </c>
      <c r="W1605" s="850">
        <v>1.1000000000000001</v>
      </c>
      <c r="X1605" s="850">
        <f t="shared" si="64"/>
        <v>17.82</v>
      </c>
    </row>
    <row r="1606" spans="1:24">
      <c r="A1606" s="376"/>
      <c r="B1606" s="468"/>
      <c r="C1606" s="1000" t="s">
        <v>1573</v>
      </c>
      <c r="D1606" s="1000"/>
      <c r="E1606" s="1000"/>
      <c r="F1606" s="1000"/>
      <c r="G1606" s="343" t="s">
        <v>61</v>
      </c>
      <c r="H1606" s="443"/>
      <c r="I1606" s="340">
        <v>2.4500000000000002</v>
      </c>
      <c r="J1606" s="340"/>
      <c r="K1606" s="119"/>
      <c r="L1606" s="118">
        <v>7</v>
      </c>
      <c r="M1606" s="309"/>
      <c r="N1606" s="118">
        <v>18.865000000000006</v>
      </c>
      <c r="O1606" s="119"/>
      <c r="U1606" s="850"/>
      <c r="V1606" s="852">
        <v>17.150000000000002</v>
      </c>
      <c r="W1606" s="850">
        <v>1.1000000000000001</v>
      </c>
      <c r="X1606" s="850">
        <f t="shared" si="64"/>
        <v>18.865000000000006</v>
      </c>
    </row>
    <row r="1607" spans="1:24">
      <c r="A1607" s="376"/>
      <c r="B1607" s="468"/>
      <c r="C1607" s="1000" t="s">
        <v>1574</v>
      </c>
      <c r="D1607" s="1000"/>
      <c r="E1607" s="1000"/>
      <c r="F1607" s="1000"/>
      <c r="G1607" s="343" t="s">
        <v>61</v>
      </c>
      <c r="H1607" s="443"/>
      <c r="I1607" s="340">
        <v>0.9</v>
      </c>
      <c r="J1607" s="340"/>
      <c r="K1607" s="119"/>
      <c r="L1607" s="118">
        <v>2.7</v>
      </c>
      <c r="M1607" s="309"/>
      <c r="N1607" s="118">
        <v>2.6730000000000005</v>
      </c>
      <c r="O1607" s="119"/>
      <c r="U1607" s="850"/>
      <c r="V1607" s="852">
        <v>2.4300000000000002</v>
      </c>
      <c r="W1607" s="850">
        <v>1.1000000000000001</v>
      </c>
      <c r="X1607" s="850">
        <f t="shared" si="64"/>
        <v>2.6730000000000005</v>
      </c>
    </row>
    <row r="1608" spans="1:24" ht="40.5" customHeight="1">
      <c r="A1608" s="377">
        <f>ORÇAMENTO!A183</f>
        <v>11380</v>
      </c>
      <c r="B1608" s="377" t="str">
        <f>ORÇAMENTO!C183</f>
        <v>11.01.02</v>
      </c>
      <c r="C1608" s="1003" t="str">
        <f>ORÇAMENTO!D183</f>
        <v>FORNECIMENTO E INSTALAÇÃO DE TELA AÇO SOLDADA NERVURADA CA-60, MALHA 20X20CM, FERRO 3.4MM, PAINEL 2X3M, (0,72KG/M²), MALHA POP LEVE GERDAU OU SIMILAR</v>
      </c>
      <c r="D1608" s="1003"/>
      <c r="E1608" s="1003"/>
      <c r="F1608" s="1003"/>
      <c r="G1608" s="425" t="str">
        <f>ORÇAMENTO!E183</f>
        <v>M²</v>
      </c>
      <c r="H1608" s="383"/>
      <c r="I1608" s="380"/>
      <c r="J1608" s="380"/>
      <c r="K1608" s="115"/>
      <c r="L1608" s="115"/>
      <c r="M1608" s="115"/>
      <c r="N1608" s="429">
        <f>SUM(N1609:N1652)</f>
        <v>898.47999999999979</v>
      </c>
      <c r="O1608" s="116"/>
    </row>
    <row r="1609" spans="1:24">
      <c r="A1609" s="376"/>
      <c r="B1609" s="468"/>
      <c r="C1609" s="1001" t="s">
        <v>1836</v>
      </c>
      <c r="D1609" s="1001"/>
      <c r="E1609" s="1001"/>
      <c r="F1609" s="1001"/>
      <c r="G1609" s="343" t="s">
        <v>61</v>
      </c>
      <c r="H1609" s="443"/>
      <c r="I1609" s="340"/>
      <c r="J1609" s="340"/>
      <c r="K1609" s="340"/>
      <c r="L1609" s="382"/>
      <c r="M1609" s="382"/>
      <c r="N1609" s="551">
        <v>13.838000000000001</v>
      </c>
      <c r="O1609" s="119"/>
    </row>
    <row r="1610" spans="1:24">
      <c r="A1610" s="376"/>
      <c r="B1610" s="468"/>
      <c r="C1610" s="1001" t="s">
        <v>1837</v>
      </c>
      <c r="D1610" s="1001"/>
      <c r="E1610" s="1001"/>
      <c r="F1610" s="1001"/>
      <c r="G1610" s="343" t="s">
        <v>61</v>
      </c>
      <c r="H1610" s="443"/>
      <c r="I1610" s="340"/>
      <c r="J1610" s="340"/>
      <c r="K1610" s="340"/>
      <c r="L1610" s="382"/>
      <c r="M1610" s="382"/>
      <c r="N1610" s="551">
        <v>14.168000000000003</v>
      </c>
      <c r="O1610" s="119"/>
    </row>
    <row r="1611" spans="1:24">
      <c r="A1611" s="376"/>
      <c r="B1611" s="468"/>
      <c r="C1611" s="1001" t="s">
        <v>1977</v>
      </c>
      <c r="D1611" s="1001"/>
      <c r="E1611" s="1001"/>
      <c r="F1611" s="1001"/>
      <c r="G1611" s="343" t="s">
        <v>61</v>
      </c>
      <c r="H1611" s="443"/>
      <c r="I1611" s="340"/>
      <c r="J1611" s="340"/>
      <c r="K1611" s="340"/>
      <c r="L1611" s="382"/>
      <c r="M1611" s="382"/>
      <c r="N1611" s="118">
        <v>16.230500000000003</v>
      </c>
      <c r="O1611" s="119"/>
    </row>
    <row r="1612" spans="1:24">
      <c r="A1612" s="376"/>
      <c r="B1612" s="468"/>
      <c r="C1612" s="1001" t="s">
        <v>1978</v>
      </c>
      <c r="D1612" s="1001"/>
      <c r="E1612" s="1001"/>
      <c r="F1612" s="1001"/>
      <c r="G1612" s="343" t="s">
        <v>61</v>
      </c>
      <c r="H1612" s="443"/>
      <c r="I1612" s="340"/>
      <c r="J1612" s="340"/>
      <c r="K1612" s="340"/>
      <c r="L1612" s="382"/>
      <c r="M1612" s="382"/>
      <c r="N1612" s="118">
        <v>2.2440000000000002</v>
      </c>
      <c r="O1612" s="119"/>
    </row>
    <row r="1613" spans="1:24">
      <c r="A1613" s="376"/>
      <c r="B1613" s="468"/>
      <c r="C1613" s="1001" t="s">
        <v>1839</v>
      </c>
      <c r="D1613" s="1001"/>
      <c r="E1613" s="1001"/>
      <c r="F1613" s="1001"/>
      <c r="G1613" s="343" t="s">
        <v>61</v>
      </c>
      <c r="H1613" s="443"/>
      <c r="I1613" s="340"/>
      <c r="J1613" s="340"/>
      <c r="K1613" s="340"/>
      <c r="L1613" s="382"/>
      <c r="M1613" s="382"/>
      <c r="N1613" s="118">
        <v>16.230500000000003</v>
      </c>
      <c r="O1613" s="119"/>
    </row>
    <row r="1614" spans="1:24">
      <c r="A1614" s="376"/>
      <c r="B1614" s="468"/>
      <c r="C1614" s="1001" t="s">
        <v>1840</v>
      </c>
      <c r="D1614" s="1001"/>
      <c r="E1614" s="1001"/>
      <c r="F1614" s="1001"/>
      <c r="G1614" s="343" t="s">
        <v>61</v>
      </c>
      <c r="H1614" s="443"/>
      <c r="I1614" s="340"/>
      <c r="J1614" s="340"/>
      <c r="K1614" s="340"/>
      <c r="L1614" s="382"/>
      <c r="M1614" s="382"/>
      <c r="N1614" s="118">
        <v>2.2440000000000002</v>
      </c>
      <c r="O1614" s="119"/>
    </row>
    <row r="1615" spans="1:24">
      <c r="A1615" s="376"/>
      <c r="B1615" s="468"/>
      <c r="C1615" s="1001" t="s">
        <v>1841</v>
      </c>
      <c r="D1615" s="1001"/>
      <c r="E1615" s="1001"/>
      <c r="F1615" s="1001"/>
      <c r="G1615" s="343" t="s">
        <v>61</v>
      </c>
      <c r="H1615" s="443"/>
      <c r="I1615" s="340"/>
      <c r="J1615" s="340"/>
      <c r="K1615" s="340"/>
      <c r="L1615" s="382"/>
      <c r="M1615" s="382"/>
      <c r="N1615" s="118">
        <v>173.66800000000001</v>
      </c>
      <c r="O1615" s="119"/>
    </row>
    <row r="1616" spans="1:24">
      <c r="A1616" s="376"/>
      <c r="B1616" s="468"/>
      <c r="C1616" s="1001" t="s">
        <v>1825</v>
      </c>
      <c r="D1616" s="1001"/>
      <c r="E1616" s="1001"/>
      <c r="F1616" s="1001"/>
      <c r="G1616" s="343" t="s">
        <v>61</v>
      </c>
      <c r="H1616" s="443"/>
      <c r="I1616" s="340"/>
      <c r="J1616" s="340"/>
      <c r="K1616" s="340"/>
      <c r="L1616" s="382"/>
      <c r="M1616" s="382"/>
      <c r="N1616" s="118">
        <v>25.838999999999999</v>
      </c>
      <c r="O1616" s="119"/>
    </row>
    <row r="1617" spans="1:15">
      <c r="A1617" s="376"/>
      <c r="B1617" s="468"/>
      <c r="C1617" s="1001" t="s">
        <v>1824</v>
      </c>
      <c r="D1617" s="1001"/>
      <c r="E1617" s="1001"/>
      <c r="F1617" s="1001"/>
      <c r="G1617" s="343" t="s">
        <v>61</v>
      </c>
      <c r="H1617" s="443"/>
      <c r="I1617" s="340"/>
      <c r="J1617" s="340"/>
      <c r="K1617" s="340"/>
      <c r="L1617" s="382"/>
      <c r="M1617" s="382"/>
      <c r="N1617" s="118">
        <v>20.460000000000004</v>
      </c>
      <c r="O1617" s="119"/>
    </row>
    <row r="1618" spans="1:15">
      <c r="A1618" s="376"/>
      <c r="B1618" s="468"/>
      <c r="C1618" s="1001" t="s">
        <v>1830</v>
      </c>
      <c r="D1618" s="1001"/>
      <c r="E1618" s="1001"/>
      <c r="F1618" s="1001"/>
      <c r="G1618" s="343" t="s">
        <v>61</v>
      </c>
      <c r="H1618" s="443"/>
      <c r="I1618" s="340"/>
      <c r="J1618" s="340"/>
      <c r="K1618" s="340"/>
      <c r="L1618" s="382"/>
      <c r="M1618" s="382"/>
      <c r="N1618" s="118">
        <v>11.990000000000002</v>
      </c>
      <c r="O1618" s="119"/>
    </row>
    <row r="1619" spans="1:15">
      <c r="A1619" s="376"/>
      <c r="B1619" s="468"/>
      <c r="C1619" s="1001" t="s">
        <v>1822</v>
      </c>
      <c r="D1619" s="1001"/>
      <c r="E1619" s="1001"/>
      <c r="F1619" s="1001"/>
      <c r="G1619" s="343" t="s">
        <v>61</v>
      </c>
      <c r="H1619" s="443"/>
      <c r="I1619" s="340"/>
      <c r="J1619" s="340"/>
      <c r="K1619" s="340"/>
      <c r="L1619" s="382"/>
      <c r="M1619" s="382"/>
      <c r="N1619" s="118">
        <v>26.015000000000001</v>
      </c>
      <c r="O1619" s="119"/>
    </row>
    <row r="1620" spans="1:15">
      <c r="A1620" s="376"/>
      <c r="B1620" s="468"/>
      <c r="C1620" s="1001" t="s">
        <v>1823</v>
      </c>
      <c r="D1620" s="1001"/>
      <c r="E1620" s="1001"/>
      <c r="F1620" s="1001"/>
      <c r="G1620" s="343" t="s">
        <v>61</v>
      </c>
      <c r="H1620" s="443"/>
      <c r="I1620" s="340"/>
      <c r="J1620" s="340"/>
      <c r="K1620" s="340"/>
      <c r="L1620" s="382"/>
      <c r="M1620" s="382"/>
      <c r="N1620" s="118">
        <v>2.7170000000000005</v>
      </c>
      <c r="O1620" s="119"/>
    </row>
    <row r="1621" spans="1:15">
      <c r="A1621" s="376"/>
      <c r="B1621" s="468"/>
      <c r="C1621" s="1001" t="s">
        <v>1842</v>
      </c>
      <c r="D1621" s="1001"/>
      <c r="E1621" s="1001"/>
      <c r="F1621" s="1001"/>
      <c r="G1621" s="343" t="s">
        <v>61</v>
      </c>
      <c r="H1621" s="443"/>
      <c r="I1621" s="340"/>
      <c r="J1621" s="340"/>
      <c r="K1621" s="340"/>
      <c r="L1621" s="459"/>
      <c r="M1621" s="459"/>
      <c r="N1621" s="118">
        <v>44.704000000000008</v>
      </c>
      <c r="O1621" s="119"/>
    </row>
    <row r="1622" spans="1:15">
      <c r="A1622" s="376"/>
      <c r="B1622" s="468"/>
      <c r="C1622" s="1001" t="s">
        <v>1843</v>
      </c>
      <c r="D1622" s="1001"/>
      <c r="E1622" s="1001"/>
      <c r="F1622" s="1001"/>
      <c r="G1622" s="343" t="s">
        <v>61</v>
      </c>
      <c r="H1622" s="443"/>
      <c r="I1622" s="340"/>
      <c r="J1622" s="340"/>
      <c r="K1622" s="340"/>
      <c r="L1622" s="459"/>
      <c r="M1622" s="459"/>
      <c r="N1622" s="118">
        <v>5.8849999999999998</v>
      </c>
      <c r="O1622" s="119"/>
    </row>
    <row r="1623" spans="1:15">
      <c r="A1623" s="376"/>
      <c r="B1623" s="468"/>
      <c r="C1623" s="1001" t="s">
        <v>1814</v>
      </c>
      <c r="D1623" s="1001"/>
      <c r="E1623" s="1001"/>
      <c r="F1623" s="1001"/>
      <c r="G1623" s="343" t="s">
        <v>61</v>
      </c>
      <c r="H1623" s="443"/>
      <c r="I1623" s="340"/>
      <c r="J1623" s="340"/>
      <c r="K1623" s="340"/>
      <c r="L1623" s="459"/>
      <c r="M1623" s="459"/>
      <c r="N1623" s="118">
        <v>8.8000000000000007</v>
      </c>
      <c r="O1623" s="119"/>
    </row>
    <row r="1624" spans="1:15">
      <c r="A1624" s="376"/>
      <c r="B1624" s="468"/>
      <c r="C1624" s="1001" t="s">
        <v>1815</v>
      </c>
      <c r="D1624" s="1001"/>
      <c r="E1624" s="1001"/>
      <c r="F1624" s="1001"/>
      <c r="G1624" s="343" t="s">
        <v>61</v>
      </c>
      <c r="H1624" s="443"/>
      <c r="I1624" s="340"/>
      <c r="J1624" s="340"/>
      <c r="K1624" s="340"/>
      <c r="L1624" s="459"/>
      <c r="M1624" s="459"/>
      <c r="N1624" s="118">
        <v>12.672000000000001</v>
      </c>
      <c r="O1624" s="119"/>
    </row>
    <row r="1625" spans="1:15">
      <c r="A1625" s="376"/>
      <c r="B1625" s="468"/>
      <c r="C1625" s="1001" t="s">
        <v>1816</v>
      </c>
      <c r="D1625" s="1001"/>
      <c r="E1625" s="1001"/>
      <c r="F1625" s="1001"/>
      <c r="G1625" s="343" t="s">
        <v>61</v>
      </c>
      <c r="H1625" s="443"/>
      <c r="I1625" s="340"/>
      <c r="J1625" s="340"/>
      <c r="K1625" s="340"/>
      <c r="L1625" s="459"/>
      <c r="M1625" s="123"/>
      <c r="N1625" s="118">
        <v>7.1610000000000005</v>
      </c>
      <c r="O1625" s="119"/>
    </row>
    <row r="1626" spans="1:15">
      <c r="A1626" s="376"/>
      <c r="B1626" s="468"/>
      <c r="C1626" s="1001" t="s">
        <v>1817</v>
      </c>
      <c r="D1626" s="1001"/>
      <c r="E1626" s="1001"/>
      <c r="F1626" s="1001"/>
      <c r="G1626" s="343" t="s">
        <v>61</v>
      </c>
      <c r="H1626" s="443"/>
      <c r="I1626" s="340"/>
      <c r="J1626" s="340"/>
      <c r="K1626" s="340"/>
      <c r="L1626" s="459"/>
      <c r="M1626" s="123"/>
      <c r="N1626" s="118">
        <v>7.1610000000000005</v>
      </c>
      <c r="O1626" s="119"/>
    </row>
    <row r="1627" spans="1:15">
      <c r="A1627" s="376"/>
      <c r="B1627" s="468"/>
      <c r="C1627" s="1001" t="s">
        <v>1818</v>
      </c>
      <c r="D1627" s="1001"/>
      <c r="E1627" s="1001"/>
      <c r="F1627" s="1001"/>
      <c r="G1627" s="343" t="s">
        <v>61</v>
      </c>
      <c r="H1627" s="443"/>
      <c r="I1627" s="340"/>
      <c r="J1627" s="340"/>
      <c r="K1627" s="340"/>
      <c r="L1627" s="459"/>
      <c r="M1627" s="123"/>
      <c r="N1627" s="118">
        <v>2.5299999999999998</v>
      </c>
      <c r="O1627" s="119"/>
    </row>
    <row r="1628" spans="1:15">
      <c r="A1628" s="376"/>
      <c r="B1628" s="468"/>
      <c r="C1628" s="1001" t="s">
        <v>1819</v>
      </c>
      <c r="D1628" s="1001"/>
      <c r="E1628" s="1001"/>
      <c r="F1628" s="1001"/>
      <c r="G1628" s="343" t="s">
        <v>61</v>
      </c>
      <c r="H1628" s="443"/>
      <c r="I1628" s="340"/>
      <c r="J1628" s="340"/>
      <c r="K1628" s="340"/>
      <c r="L1628" s="459"/>
      <c r="M1628" s="123"/>
      <c r="N1628" s="118">
        <v>3.63</v>
      </c>
      <c r="O1628" s="119"/>
    </row>
    <row r="1629" spans="1:15">
      <c r="A1629" s="376"/>
      <c r="B1629" s="468"/>
      <c r="C1629" s="1001" t="s">
        <v>1820</v>
      </c>
      <c r="D1629" s="1001"/>
      <c r="E1629" s="1001"/>
      <c r="F1629" s="1001"/>
      <c r="G1629" s="343" t="s">
        <v>61</v>
      </c>
      <c r="H1629" s="443"/>
      <c r="I1629" s="340"/>
      <c r="J1629" s="340"/>
      <c r="K1629" s="340"/>
      <c r="L1629" s="459"/>
      <c r="M1629" s="123"/>
      <c r="N1629" s="118">
        <v>18.579000000000001</v>
      </c>
      <c r="O1629" s="119"/>
    </row>
    <row r="1630" spans="1:15">
      <c r="A1630" s="376"/>
      <c r="B1630" s="468"/>
      <c r="C1630" s="1001" t="s">
        <v>1821</v>
      </c>
      <c r="D1630" s="1001"/>
      <c r="E1630" s="1001"/>
      <c r="F1630" s="1001"/>
      <c r="G1630" s="343" t="s">
        <v>61</v>
      </c>
      <c r="H1630" s="443"/>
      <c r="I1630" s="340"/>
      <c r="J1630" s="340"/>
      <c r="K1630" s="340"/>
      <c r="L1630" s="459"/>
      <c r="M1630" s="123"/>
      <c r="N1630" s="118">
        <v>12.496</v>
      </c>
      <c r="O1630" s="119"/>
    </row>
    <row r="1631" spans="1:15">
      <c r="A1631" s="376"/>
      <c r="B1631" s="468"/>
      <c r="C1631" s="1001" t="s">
        <v>1822</v>
      </c>
      <c r="D1631" s="1001"/>
      <c r="E1631" s="1001"/>
      <c r="F1631" s="1001"/>
      <c r="G1631" s="343" t="s">
        <v>61</v>
      </c>
      <c r="H1631" s="443"/>
      <c r="I1631" s="340"/>
      <c r="J1631" s="340"/>
      <c r="K1631" s="340"/>
      <c r="L1631" s="459"/>
      <c r="M1631" s="123"/>
      <c r="N1631" s="118">
        <v>26.015000000000001</v>
      </c>
      <c r="O1631" s="119"/>
    </row>
    <row r="1632" spans="1:15">
      <c r="A1632" s="376"/>
      <c r="B1632" s="468"/>
      <c r="C1632" s="1001" t="s">
        <v>1979</v>
      </c>
      <c r="D1632" s="1001"/>
      <c r="E1632" s="1001"/>
      <c r="F1632" s="1001"/>
      <c r="G1632" s="343" t="s">
        <v>61</v>
      </c>
      <c r="H1632" s="443"/>
      <c r="I1632" s="340"/>
      <c r="J1632" s="340"/>
      <c r="K1632" s="340"/>
      <c r="L1632" s="459"/>
      <c r="M1632" s="309"/>
      <c r="N1632" s="118">
        <v>2.7170000000000005</v>
      </c>
      <c r="O1632" s="119"/>
    </row>
    <row r="1633" spans="1:15">
      <c r="A1633" s="376"/>
      <c r="B1633" s="468"/>
      <c r="C1633" s="1001" t="s">
        <v>1842</v>
      </c>
      <c r="D1633" s="1001"/>
      <c r="E1633" s="1001"/>
      <c r="F1633" s="1001"/>
      <c r="G1633" s="343" t="s">
        <v>61</v>
      </c>
      <c r="H1633" s="443"/>
      <c r="I1633" s="340"/>
      <c r="J1633" s="340"/>
      <c r="K1633" s="340"/>
      <c r="L1633" s="459"/>
      <c r="M1633" s="587"/>
      <c r="N1633" s="118">
        <v>44.704000000000008</v>
      </c>
      <c r="O1633" s="119"/>
    </row>
    <row r="1634" spans="1:15">
      <c r="A1634" s="376"/>
      <c r="B1634" s="468"/>
      <c r="C1634" s="1001" t="s">
        <v>1843</v>
      </c>
      <c r="D1634" s="1001"/>
      <c r="E1634" s="1001"/>
      <c r="F1634" s="1001"/>
      <c r="G1634" s="343" t="s">
        <v>61</v>
      </c>
      <c r="H1634" s="443"/>
      <c r="I1634" s="340"/>
      <c r="J1634" s="340"/>
      <c r="K1634" s="340"/>
      <c r="L1634" s="459"/>
      <c r="M1634" s="587"/>
      <c r="N1634" s="118">
        <v>5.8849999999999998</v>
      </c>
      <c r="O1634" s="119"/>
    </row>
    <row r="1635" spans="1:15">
      <c r="A1635" s="376"/>
      <c r="B1635" s="468"/>
      <c r="C1635" s="1001" t="s">
        <v>1830</v>
      </c>
      <c r="D1635" s="1001"/>
      <c r="E1635" s="1001"/>
      <c r="F1635" s="1001"/>
      <c r="G1635" s="343" t="s">
        <v>61</v>
      </c>
      <c r="H1635" s="443"/>
      <c r="I1635" s="340"/>
      <c r="J1635" s="340"/>
      <c r="K1635" s="340"/>
      <c r="L1635" s="457"/>
      <c r="M1635" s="587"/>
      <c r="N1635" s="118">
        <v>11.990000000000002</v>
      </c>
      <c r="O1635" s="119"/>
    </row>
    <row r="1636" spans="1:15">
      <c r="A1636" s="376"/>
      <c r="B1636" s="468"/>
      <c r="C1636" s="1001" t="s">
        <v>1824</v>
      </c>
      <c r="D1636" s="1001"/>
      <c r="E1636" s="1001"/>
      <c r="F1636" s="1001"/>
      <c r="G1636" s="343" t="s">
        <v>61</v>
      </c>
      <c r="H1636" s="443"/>
      <c r="I1636" s="340"/>
      <c r="J1636" s="340"/>
      <c r="K1636" s="340"/>
      <c r="L1636" s="457"/>
      <c r="M1636" s="587"/>
      <c r="N1636" s="118">
        <v>20.460000000000004</v>
      </c>
      <c r="O1636" s="119"/>
    </row>
    <row r="1637" spans="1:15">
      <c r="A1637" s="376"/>
      <c r="B1637" s="468"/>
      <c r="C1637" s="1001" t="s">
        <v>1855</v>
      </c>
      <c r="D1637" s="1001"/>
      <c r="E1637" s="1001"/>
      <c r="F1637" s="1001"/>
      <c r="G1637" s="343" t="s">
        <v>61</v>
      </c>
      <c r="H1637" s="443"/>
      <c r="I1637" s="340"/>
      <c r="J1637" s="340"/>
      <c r="K1637" s="340"/>
      <c r="L1637" s="457"/>
      <c r="M1637" s="587"/>
      <c r="N1637" s="118">
        <v>34.452000000000005</v>
      </c>
      <c r="O1637" s="119"/>
    </row>
    <row r="1638" spans="1:15">
      <c r="A1638" s="376"/>
      <c r="B1638" s="468"/>
      <c r="C1638" s="1001" t="s">
        <v>1826</v>
      </c>
      <c r="D1638" s="1001"/>
      <c r="E1638" s="1001"/>
      <c r="F1638" s="1001"/>
      <c r="G1638" s="343" t="s">
        <v>61</v>
      </c>
      <c r="H1638" s="443"/>
      <c r="I1638" s="340"/>
      <c r="J1638" s="340"/>
      <c r="K1638" s="340"/>
      <c r="L1638" s="459"/>
      <c r="M1638" s="309"/>
      <c r="N1638" s="118">
        <v>5.6980000000000004</v>
      </c>
      <c r="O1638" s="119"/>
    </row>
    <row r="1639" spans="1:15">
      <c r="A1639" s="376"/>
      <c r="B1639" s="468"/>
      <c r="C1639" s="1001" t="s">
        <v>1980</v>
      </c>
      <c r="D1639" s="1001"/>
      <c r="E1639" s="1001"/>
      <c r="F1639" s="1001"/>
      <c r="G1639" s="343" t="s">
        <v>61</v>
      </c>
      <c r="H1639" s="443"/>
      <c r="I1639" s="340"/>
      <c r="J1639" s="340"/>
      <c r="K1639" s="340"/>
      <c r="L1639" s="459"/>
      <c r="M1639" s="309"/>
      <c r="N1639" s="118">
        <v>5.1920000000000002</v>
      </c>
      <c r="O1639" s="119"/>
    </row>
    <row r="1640" spans="1:15">
      <c r="A1640" s="376"/>
      <c r="B1640" s="468"/>
      <c r="C1640" s="1001" t="s">
        <v>1981</v>
      </c>
      <c r="D1640" s="1001"/>
      <c r="E1640" s="1001"/>
      <c r="F1640" s="1001"/>
      <c r="G1640" s="343" t="s">
        <v>61</v>
      </c>
      <c r="H1640" s="443"/>
      <c r="I1640" s="340"/>
      <c r="J1640" s="340"/>
      <c r="K1640" s="340"/>
      <c r="L1640" s="459"/>
      <c r="M1640" s="309"/>
      <c r="N1640" s="118">
        <v>5.1920000000000002</v>
      </c>
      <c r="O1640" s="119"/>
    </row>
    <row r="1641" spans="1:15">
      <c r="A1641" s="376"/>
      <c r="B1641" s="468"/>
      <c r="C1641" s="1001" t="s">
        <v>1830</v>
      </c>
      <c r="D1641" s="1001"/>
      <c r="E1641" s="1001"/>
      <c r="F1641" s="1001"/>
      <c r="G1641" s="343" t="s">
        <v>61</v>
      </c>
      <c r="H1641" s="443"/>
      <c r="I1641" s="340"/>
      <c r="J1641" s="340"/>
      <c r="K1641" s="340"/>
      <c r="L1641" s="459"/>
      <c r="M1641" s="309"/>
      <c r="N1641" s="118">
        <v>12.870000000000003</v>
      </c>
      <c r="O1641" s="119"/>
    </row>
    <row r="1642" spans="1:15">
      <c r="A1642" s="376"/>
      <c r="B1642" s="468"/>
      <c r="C1642" s="1001" t="s">
        <v>1831</v>
      </c>
      <c r="D1642" s="1001"/>
      <c r="E1642" s="1001"/>
      <c r="F1642" s="1001"/>
      <c r="G1642" s="343" t="s">
        <v>61</v>
      </c>
      <c r="H1642" s="443"/>
      <c r="I1642" s="340"/>
      <c r="J1642" s="340"/>
      <c r="K1642" s="340"/>
      <c r="L1642" s="459"/>
      <c r="M1642" s="309"/>
      <c r="N1642" s="118">
        <v>148.5</v>
      </c>
      <c r="O1642" s="119"/>
    </row>
    <row r="1643" spans="1:15">
      <c r="A1643" s="376"/>
      <c r="B1643" s="468"/>
      <c r="C1643" s="1001" t="s">
        <v>1982</v>
      </c>
      <c r="D1643" s="1001"/>
      <c r="E1643" s="1001"/>
      <c r="F1643" s="1001"/>
      <c r="G1643" s="343" t="s">
        <v>61</v>
      </c>
      <c r="H1643" s="340"/>
      <c r="I1643" s="340"/>
      <c r="J1643" s="119"/>
      <c r="K1643" s="119"/>
      <c r="L1643" s="119"/>
      <c r="M1643" s="587"/>
      <c r="N1643" s="118">
        <v>41.305</v>
      </c>
      <c r="O1643" s="119"/>
    </row>
    <row r="1644" spans="1:15">
      <c r="A1644" s="376"/>
      <c r="B1644" s="468"/>
      <c r="C1644" s="1001" t="s">
        <v>1983</v>
      </c>
      <c r="D1644" s="1001"/>
      <c r="E1644" s="1001"/>
      <c r="F1644" s="1001"/>
      <c r="G1644" s="343" t="s">
        <v>61</v>
      </c>
      <c r="H1644" s="443"/>
      <c r="I1644" s="340"/>
      <c r="J1644" s="458"/>
      <c r="K1644" s="458"/>
      <c r="L1644" s="458"/>
      <c r="M1644" s="309"/>
      <c r="N1644" s="118">
        <v>3.5640000000000005</v>
      </c>
      <c r="O1644" s="119"/>
    </row>
    <row r="1645" spans="1:15">
      <c r="A1645" s="376"/>
      <c r="B1645" s="468"/>
      <c r="C1645" s="1001" t="s">
        <v>1984</v>
      </c>
      <c r="D1645" s="1001"/>
      <c r="E1645" s="1001"/>
      <c r="F1645" s="1001"/>
      <c r="G1645" s="343" t="s">
        <v>61</v>
      </c>
      <c r="H1645" s="443"/>
      <c r="I1645" s="340"/>
      <c r="J1645" s="340"/>
      <c r="K1645" s="458"/>
      <c r="L1645" s="457"/>
      <c r="M1645" s="309"/>
      <c r="N1645" s="118">
        <v>3.5640000000000005</v>
      </c>
      <c r="O1645" s="119"/>
    </row>
    <row r="1646" spans="1:15">
      <c r="A1646" s="376"/>
      <c r="B1646" s="468"/>
      <c r="C1646" s="1001" t="s">
        <v>1832</v>
      </c>
      <c r="D1646" s="1001"/>
      <c r="E1646" s="1001"/>
      <c r="F1646" s="1001"/>
      <c r="G1646" s="343" t="s">
        <v>61</v>
      </c>
      <c r="H1646" s="443"/>
      <c r="I1646" s="340"/>
      <c r="J1646" s="340"/>
      <c r="K1646" s="458"/>
      <c r="L1646" s="457"/>
      <c r="M1646" s="309"/>
      <c r="N1646" s="118">
        <v>2.1779999999999999</v>
      </c>
      <c r="O1646" s="119"/>
    </row>
    <row r="1647" spans="1:15">
      <c r="A1647" s="376"/>
      <c r="B1647" s="468"/>
      <c r="C1647" s="1001" t="s">
        <v>1833</v>
      </c>
      <c r="D1647" s="1001"/>
      <c r="E1647" s="1001"/>
      <c r="F1647" s="1001"/>
      <c r="G1647" s="343" t="s">
        <v>61</v>
      </c>
      <c r="H1647" s="443"/>
      <c r="I1647" s="340"/>
      <c r="J1647" s="340"/>
      <c r="K1647" s="458"/>
      <c r="L1647" s="457"/>
      <c r="M1647" s="309"/>
      <c r="N1647" s="118">
        <v>2.1779999999999999</v>
      </c>
      <c r="O1647" s="119"/>
    </row>
    <row r="1648" spans="1:15">
      <c r="A1648" s="376"/>
      <c r="B1648" s="468"/>
      <c r="C1648" s="1000" t="s">
        <v>1570</v>
      </c>
      <c r="D1648" s="1000"/>
      <c r="E1648" s="1000"/>
      <c r="F1648" s="1000"/>
      <c r="G1648" s="343" t="s">
        <v>61</v>
      </c>
      <c r="H1648" s="443"/>
      <c r="I1648" s="340">
        <v>1.2</v>
      </c>
      <c r="J1648" s="340"/>
      <c r="K1648" s="119"/>
      <c r="L1648" s="118">
        <v>18.7</v>
      </c>
      <c r="M1648" s="309"/>
      <c r="N1648" s="118">
        <v>24.684000000000001</v>
      </c>
      <c r="O1648" s="119"/>
    </row>
    <row r="1649" spans="1:15">
      <c r="A1649" s="376"/>
      <c r="B1649" s="468"/>
      <c r="C1649" s="1000" t="s">
        <v>1571</v>
      </c>
      <c r="D1649" s="1000"/>
      <c r="E1649" s="1000"/>
      <c r="F1649" s="1000"/>
      <c r="G1649" s="343" t="s">
        <v>61</v>
      </c>
      <c r="H1649" s="443"/>
      <c r="I1649" s="340">
        <v>4.4000000000000004</v>
      </c>
      <c r="J1649" s="340"/>
      <c r="K1649" s="119"/>
      <c r="L1649" s="118">
        <v>1.8</v>
      </c>
      <c r="M1649" s="309"/>
      <c r="N1649" s="118">
        <v>8.7120000000000015</v>
      </c>
      <c r="O1649" s="119"/>
    </row>
    <row r="1650" spans="1:15">
      <c r="A1650" s="376"/>
      <c r="B1650" s="468"/>
      <c r="C1650" s="1000" t="s">
        <v>1572</v>
      </c>
      <c r="D1650" s="1000"/>
      <c r="E1650" s="1000"/>
      <c r="F1650" s="1000"/>
      <c r="G1650" s="343" t="s">
        <v>61</v>
      </c>
      <c r="H1650" s="443"/>
      <c r="I1650" s="340">
        <v>1.2</v>
      </c>
      <c r="J1650" s="340"/>
      <c r="K1650" s="119"/>
      <c r="L1650" s="118">
        <v>13.5</v>
      </c>
      <c r="M1650" s="309"/>
      <c r="N1650" s="118">
        <v>17.82</v>
      </c>
      <c r="O1650" s="119"/>
    </row>
    <row r="1651" spans="1:15">
      <c r="A1651" s="376"/>
      <c r="B1651" s="468"/>
      <c r="C1651" s="1000" t="s">
        <v>1573</v>
      </c>
      <c r="D1651" s="1000"/>
      <c r="E1651" s="1000"/>
      <c r="F1651" s="1000"/>
      <c r="G1651" s="343" t="s">
        <v>61</v>
      </c>
      <c r="H1651" s="443"/>
      <c r="I1651" s="340">
        <v>2.4500000000000002</v>
      </c>
      <c r="J1651" s="340"/>
      <c r="K1651" s="119"/>
      <c r="L1651" s="118">
        <v>7</v>
      </c>
      <c r="M1651" s="309"/>
      <c r="N1651" s="118">
        <v>18.865000000000006</v>
      </c>
      <c r="O1651" s="119"/>
    </row>
    <row r="1652" spans="1:15">
      <c r="A1652" s="376"/>
      <c r="B1652" s="468"/>
      <c r="C1652" s="1000" t="s">
        <v>1574</v>
      </c>
      <c r="D1652" s="1000"/>
      <c r="E1652" s="1000"/>
      <c r="F1652" s="1000"/>
      <c r="G1652" s="343" t="s">
        <v>61</v>
      </c>
      <c r="H1652" s="443"/>
      <c r="I1652" s="340">
        <v>0.9</v>
      </c>
      <c r="J1652" s="340"/>
      <c r="K1652" s="119"/>
      <c r="L1652" s="118">
        <v>2.7</v>
      </c>
      <c r="M1652" s="309"/>
      <c r="N1652" s="118">
        <v>2.6730000000000005</v>
      </c>
      <c r="O1652" s="119"/>
    </row>
    <row r="1653" spans="1:15" ht="36" customHeight="1">
      <c r="A1653" s="377">
        <f>ORÇAMENTO!A184</f>
        <v>2169</v>
      </c>
      <c r="B1653" s="377" t="str">
        <f>ORÇAMENTO!C184</f>
        <v>11.01.03</v>
      </c>
      <c r="C1653" s="1003" t="str">
        <f>ORÇAMENTO!D184</f>
        <v>LASTRO DE CONCRETO SIMPLES REGULARIZADO, FCK=13,5 MPA,LANÇADO E ADENSADO</v>
      </c>
      <c r="D1653" s="1003"/>
      <c r="E1653" s="1003"/>
      <c r="F1653" s="1003"/>
      <c r="G1653" s="425" t="str">
        <f>ORÇAMENTO!E184</f>
        <v>M³</v>
      </c>
      <c r="H1653" s="383"/>
      <c r="I1653" s="380"/>
      <c r="J1653" s="380"/>
      <c r="K1653" s="115"/>
      <c r="L1653" s="115"/>
      <c r="M1653" s="115"/>
      <c r="N1653" s="116"/>
      <c r="O1653" s="429">
        <f>SUM(O1654:O1697)</f>
        <v>62.893599999999999</v>
      </c>
    </row>
    <row r="1654" spans="1:15" s="129" customFormat="1">
      <c r="A1654" s="468"/>
      <c r="B1654" s="468"/>
      <c r="C1654" s="1001" t="s">
        <v>1836</v>
      </c>
      <c r="D1654" s="1001"/>
      <c r="E1654" s="1001"/>
      <c r="F1654" s="1001"/>
      <c r="G1654" s="343" t="s">
        <v>61</v>
      </c>
      <c r="H1654" s="443"/>
      <c r="I1654" s="340"/>
      <c r="J1654" s="340"/>
      <c r="K1654" s="340">
        <v>7.0000000000000007E-2</v>
      </c>
      <c r="L1654" s="382"/>
      <c r="M1654" s="382"/>
      <c r="N1654" s="551">
        <v>13.838000000000001</v>
      </c>
      <c r="O1654" s="119">
        <f>N1654*K1654</f>
        <v>0.96866000000000019</v>
      </c>
    </row>
    <row r="1655" spans="1:15" s="129" customFormat="1">
      <c r="A1655" s="468"/>
      <c r="B1655" s="468"/>
      <c r="C1655" s="1001" t="s">
        <v>1837</v>
      </c>
      <c r="D1655" s="1001"/>
      <c r="E1655" s="1001"/>
      <c r="F1655" s="1001"/>
      <c r="G1655" s="343" t="s">
        <v>61</v>
      </c>
      <c r="H1655" s="443"/>
      <c r="I1655" s="340"/>
      <c r="J1655" s="340"/>
      <c r="K1655" s="340">
        <v>7.0000000000000007E-2</v>
      </c>
      <c r="L1655" s="382"/>
      <c r="M1655" s="382"/>
      <c r="N1655" s="551">
        <v>14.168000000000003</v>
      </c>
      <c r="O1655" s="119">
        <f t="shared" ref="O1655:O1697" si="65">N1655*K1655</f>
        <v>0.99176000000000031</v>
      </c>
    </row>
    <row r="1656" spans="1:15" s="129" customFormat="1">
      <c r="A1656" s="468"/>
      <c r="B1656" s="468"/>
      <c r="C1656" s="1001" t="s">
        <v>1977</v>
      </c>
      <c r="D1656" s="1001"/>
      <c r="E1656" s="1001"/>
      <c r="F1656" s="1001"/>
      <c r="G1656" s="343" t="s">
        <v>61</v>
      </c>
      <c r="H1656" s="443"/>
      <c r="I1656" s="340"/>
      <c r="J1656" s="340"/>
      <c r="K1656" s="340">
        <v>7.0000000000000007E-2</v>
      </c>
      <c r="L1656" s="382"/>
      <c r="M1656" s="382"/>
      <c r="N1656" s="118">
        <v>16.230500000000003</v>
      </c>
      <c r="O1656" s="119">
        <f t="shared" si="65"/>
        <v>1.1361350000000003</v>
      </c>
    </row>
    <row r="1657" spans="1:15" s="129" customFormat="1">
      <c r="A1657" s="468"/>
      <c r="B1657" s="468"/>
      <c r="C1657" s="1001" t="s">
        <v>1978</v>
      </c>
      <c r="D1657" s="1001"/>
      <c r="E1657" s="1001"/>
      <c r="F1657" s="1001"/>
      <c r="G1657" s="343" t="s">
        <v>61</v>
      </c>
      <c r="H1657" s="443"/>
      <c r="I1657" s="340"/>
      <c r="J1657" s="340"/>
      <c r="K1657" s="340">
        <v>7.0000000000000007E-2</v>
      </c>
      <c r="L1657" s="382"/>
      <c r="M1657" s="382"/>
      <c r="N1657" s="118">
        <v>2.2440000000000002</v>
      </c>
      <c r="O1657" s="119">
        <f t="shared" si="65"/>
        <v>0.15708000000000003</v>
      </c>
    </row>
    <row r="1658" spans="1:15" s="129" customFormat="1">
      <c r="A1658" s="468"/>
      <c r="B1658" s="468"/>
      <c r="C1658" s="1001" t="s">
        <v>1839</v>
      </c>
      <c r="D1658" s="1001"/>
      <c r="E1658" s="1001"/>
      <c r="F1658" s="1001"/>
      <c r="G1658" s="343" t="s">
        <v>61</v>
      </c>
      <c r="H1658" s="443"/>
      <c r="I1658" s="340"/>
      <c r="J1658" s="340"/>
      <c r="K1658" s="340">
        <v>7.0000000000000007E-2</v>
      </c>
      <c r="L1658" s="382"/>
      <c r="M1658" s="382"/>
      <c r="N1658" s="118">
        <v>16.230500000000003</v>
      </c>
      <c r="O1658" s="119">
        <f t="shared" si="65"/>
        <v>1.1361350000000003</v>
      </c>
    </row>
    <row r="1659" spans="1:15" s="129" customFormat="1">
      <c r="A1659" s="468"/>
      <c r="B1659" s="468"/>
      <c r="C1659" s="1001" t="s">
        <v>1840</v>
      </c>
      <c r="D1659" s="1001"/>
      <c r="E1659" s="1001"/>
      <c r="F1659" s="1001"/>
      <c r="G1659" s="343" t="s">
        <v>61</v>
      </c>
      <c r="H1659" s="443"/>
      <c r="I1659" s="340"/>
      <c r="J1659" s="340"/>
      <c r="K1659" s="340">
        <v>7.0000000000000007E-2</v>
      </c>
      <c r="L1659" s="382"/>
      <c r="M1659" s="382"/>
      <c r="N1659" s="118">
        <v>2.2440000000000002</v>
      </c>
      <c r="O1659" s="119">
        <f t="shared" si="65"/>
        <v>0.15708000000000003</v>
      </c>
    </row>
    <row r="1660" spans="1:15" s="129" customFormat="1">
      <c r="A1660" s="468"/>
      <c r="B1660" s="468"/>
      <c r="C1660" s="1001" t="s">
        <v>1841</v>
      </c>
      <c r="D1660" s="1001"/>
      <c r="E1660" s="1001"/>
      <c r="F1660" s="1001"/>
      <c r="G1660" s="343" t="s">
        <v>61</v>
      </c>
      <c r="H1660" s="443"/>
      <c r="I1660" s="340"/>
      <c r="J1660" s="340"/>
      <c r="K1660" s="340">
        <v>7.0000000000000007E-2</v>
      </c>
      <c r="L1660" s="382"/>
      <c r="M1660" s="382"/>
      <c r="N1660" s="118">
        <v>173.66800000000001</v>
      </c>
      <c r="O1660" s="119">
        <f t="shared" si="65"/>
        <v>12.156760000000002</v>
      </c>
    </row>
    <row r="1661" spans="1:15" s="129" customFormat="1">
      <c r="A1661" s="468"/>
      <c r="B1661" s="468"/>
      <c r="C1661" s="1001" t="s">
        <v>1825</v>
      </c>
      <c r="D1661" s="1001"/>
      <c r="E1661" s="1001"/>
      <c r="F1661" s="1001"/>
      <c r="G1661" s="343" t="s">
        <v>61</v>
      </c>
      <c r="H1661" s="443"/>
      <c r="I1661" s="340"/>
      <c r="J1661" s="340"/>
      <c r="K1661" s="340">
        <v>7.0000000000000007E-2</v>
      </c>
      <c r="L1661" s="382"/>
      <c r="M1661" s="382"/>
      <c r="N1661" s="118">
        <v>25.838999999999999</v>
      </c>
      <c r="O1661" s="119">
        <f t="shared" si="65"/>
        <v>1.8087300000000002</v>
      </c>
    </row>
    <row r="1662" spans="1:15" s="129" customFormat="1">
      <c r="A1662" s="468"/>
      <c r="B1662" s="468"/>
      <c r="C1662" s="1001" t="s">
        <v>1824</v>
      </c>
      <c r="D1662" s="1001"/>
      <c r="E1662" s="1001"/>
      <c r="F1662" s="1001"/>
      <c r="G1662" s="343" t="s">
        <v>61</v>
      </c>
      <c r="H1662" s="443"/>
      <c r="I1662" s="340"/>
      <c r="J1662" s="340"/>
      <c r="K1662" s="340">
        <v>7.0000000000000007E-2</v>
      </c>
      <c r="L1662" s="382"/>
      <c r="M1662" s="382"/>
      <c r="N1662" s="118">
        <v>20.460000000000004</v>
      </c>
      <c r="O1662" s="119">
        <f t="shared" si="65"/>
        <v>1.4322000000000004</v>
      </c>
    </row>
    <row r="1663" spans="1:15" s="129" customFormat="1">
      <c r="A1663" s="468"/>
      <c r="B1663" s="468"/>
      <c r="C1663" s="1001" t="s">
        <v>1830</v>
      </c>
      <c r="D1663" s="1001"/>
      <c r="E1663" s="1001"/>
      <c r="F1663" s="1001"/>
      <c r="G1663" s="343" t="s">
        <v>61</v>
      </c>
      <c r="H1663" s="443"/>
      <c r="I1663" s="340"/>
      <c r="J1663" s="340"/>
      <c r="K1663" s="340">
        <v>7.0000000000000007E-2</v>
      </c>
      <c r="L1663" s="382"/>
      <c r="M1663" s="382"/>
      <c r="N1663" s="118">
        <v>11.990000000000002</v>
      </c>
      <c r="O1663" s="119">
        <f t="shared" si="65"/>
        <v>0.83930000000000027</v>
      </c>
    </row>
    <row r="1664" spans="1:15" s="129" customFormat="1">
      <c r="A1664" s="468"/>
      <c r="B1664" s="468"/>
      <c r="C1664" s="1001" t="s">
        <v>1822</v>
      </c>
      <c r="D1664" s="1001"/>
      <c r="E1664" s="1001"/>
      <c r="F1664" s="1001"/>
      <c r="G1664" s="343" t="s">
        <v>61</v>
      </c>
      <c r="H1664" s="443"/>
      <c r="I1664" s="340"/>
      <c r="J1664" s="340"/>
      <c r="K1664" s="340">
        <v>7.0000000000000007E-2</v>
      </c>
      <c r="L1664" s="382"/>
      <c r="M1664" s="382"/>
      <c r="N1664" s="118">
        <v>26.015000000000001</v>
      </c>
      <c r="O1664" s="119">
        <f t="shared" si="65"/>
        <v>1.8210500000000003</v>
      </c>
    </row>
    <row r="1665" spans="1:15" s="129" customFormat="1">
      <c r="A1665" s="468"/>
      <c r="B1665" s="468"/>
      <c r="C1665" s="1001" t="s">
        <v>1823</v>
      </c>
      <c r="D1665" s="1001"/>
      <c r="E1665" s="1001"/>
      <c r="F1665" s="1001"/>
      <c r="G1665" s="343" t="s">
        <v>61</v>
      </c>
      <c r="H1665" s="443"/>
      <c r="I1665" s="340"/>
      <c r="J1665" s="340"/>
      <c r="K1665" s="340">
        <v>7.0000000000000007E-2</v>
      </c>
      <c r="L1665" s="382"/>
      <c r="M1665" s="382"/>
      <c r="N1665" s="118">
        <v>2.7170000000000005</v>
      </c>
      <c r="O1665" s="119">
        <f t="shared" si="65"/>
        <v>0.19019000000000005</v>
      </c>
    </row>
    <row r="1666" spans="1:15" s="129" customFormat="1">
      <c r="A1666" s="468"/>
      <c r="B1666" s="468"/>
      <c r="C1666" s="1001" t="s">
        <v>1842</v>
      </c>
      <c r="D1666" s="1001"/>
      <c r="E1666" s="1001"/>
      <c r="F1666" s="1001"/>
      <c r="G1666" s="343" t="s">
        <v>61</v>
      </c>
      <c r="H1666" s="443"/>
      <c r="I1666" s="340"/>
      <c r="J1666" s="340"/>
      <c r="K1666" s="340">
        <v>7.0000000000000007E-2</v>
      </c>
      <c r="L1666" s="459"/>
      <c r="M1666" s="459"/>
      <c r="N1666" s="118">
        <v>44.704000000000008</v>
      </c>
      <c r="O1666" s="119">
        <f t="shared" si="65"/>
        <v>3.1292800000000009</v>
      </c>
    </row>
    <row r="1667" spans="1:15" s="129" customFormat="1">
      <c r="A1667" s="468"/>
      <c r="B1667" s="468"/>
      <c r="C1667" s="1001" t="s">
        <v>1843</v>
      </c>
      <c r="D1667" s="1001"/>
      <c r="E1667" s="1001"/>
      <c r="F1667" s="1001"/>
      <c r="G1667" s="343" t="s">
        <v>61</v>
      </c>
      <c r="H1667" s="443"/>
      <c r="I1667" s="340"/>
      <c r="J1667" s="340"/>
      <c r="K1667" s="340">
        <v>7.0000000000000007E-2</v>
      </c>
      <c r="L1667" s="459"/>
      <c r="M1667" s="459"/>
      <c r="N1667" s="118">
        <v>5.8849999999999998</v>
      </c>
      <c r="O1667" s="119">
        <f t="shared" si="65"/>
        <v>0.41195000000000004</v>
      </c>
    </row>
    <row r="1668" spans="1:15" s="129" customFormat="1">
      <c r="A1668" s="468"/>
      <c r="B1668" s="468"/>
      <c r="C1668" s="1001" t="s">
        <v>1814</v>
      </c>
      <c r="D1668" s="1001"/>
      <c r="E1668" s="1001"/>
      <c r="F1668" s="1001"/>
      <c r="G1668" s="343" t="s">
        <v>61</v>
      </c>
      <c r="H1668" s="443"/>
      <c r="I1668" s="340"/>
      <c r="J1668" s="340"/>
      <c r="K1668" s="340">
        <v>7.0000000000000007E-2</v>
      </c>
      <c r="L1668" s="459"/>
      <c r="M1668" s="459"/>
      <c r="N1668" s="118">
        <v>8.8000000000000007</v>
      </c>
      <c r="O1668" s="119">
        <f t="shared" si="65"/>
        <v>0.6160000000000001</v>
      </c>
    </row>
    <row r="1669" spans="1:15" s="129" customFormat="1">
      <c r="A1669" s="468"/>
      <c r="B1669" s="468"/>
      <c r="C1669" s="1001" t="s">
        <v>1815</v>
      </c>
      <c r="D1669" s="1001"/>
      <c r="E1669" s="1001"/>
      <c r="F1669" s="1001"/>
      <c r="G1669" s="343" t="s">
        <v>61</v>
      </c>
      <c r="H1669" s="443"/>
      <c r="I1669" s="340"/>
      <c r="J1669" s="340"/>
      <c r="K1669" s="340">
        <v>7.0000000000000007E-2</v>
      </c>
      <c r="L1669" s="459"/>
      <c r="M1669" s="459"/>
      <c r="N1669" s="118">
        <v>12.672000000000001</v>
      </c>
      <c r="O1669" s="119">
        <f t="shared" si="65"/>
        <v>0.88704000000000016</v>
      </c>
    </row>
    <row r="1670" spans="1:15" s="129" customFormat="1">
      <c r="A1670" s="468"/>
      <c r="B1670" s="468"/>
      <c r="C1670" s="1001" t="s">
        <v>1816</v>
      </c>
      <c r="D1670" s="1001"/>
      <c r="E1670" s="1001"/>
      <c r="F1670" s="1001"/>
      <c r="G1670" s="343" t="s">
        <v>61</v>
      </c>
      <c r="H1670" s="443"/>
      <c r="I1670" s="340"/>
      <c r="J1670" s="340"/>
      <c r="K1670" s="340">
        <v>7.0000000000000007E-2</v>
      </c>
      <c r="L1670" s="459"/>
      <c r="M1670" s="123"/>
      <c r="N1670" s="118">
        <v>7.1610000000000005</v>
      </c>
      <c r="O1670" s="119">
        <f t="shared" si="65"/>
        <v>0.5012700000000001</v>
      </c>
    </row>
    <row r="1671" spans="1:15" s="129" customFormat="1">
      <c r="A1671" s="468"/>
      <c r="B1671" s="468"/>
      <c r="C1671" s="1001" t="s">
        <v>1817</v>
      </c>
      <c r="D1671" s="1001"/>
      <c r="E1671" s="1001"/>
      <c r="F1671" s="1001"/>
      <c r="G1671" s="343" t="s">
        <v>61</v>
      </c>
      <c r="H1671" s="443"/>
      <c r="I1671" s="340"/>
      <c r="J1671" s="340"/>
      <c r="K1671" s="340">
        <v>7.0000000000000007E-2</v>
      </c>
      <c r="L1671" s="459"/>
      <c r="M1671" s="123"/>
      <c r="N1671" s="118">
        <v>7.1610000000000005</v>
      </c>
      <c r="O1671" s="119">
        <f t="shared" si="65"/>
        <v>0.5012700000000001</v>
      </c>
    </row>
    <row r="1672" spans="1:15" s="129" customFormat="1">
      <c r="A1672" s="468"/>
      <c r="B1672" s="468"/>
      <c r="C1672" s="1001" t="s">
        <v>1818</v>
      </c>
      <c r="D1672" s="1001"/>
      <c r="E1672" s="1001"/>
      <c r="F1672" s="1001"/>
      <c r="G1672" s="343" t="s">
        <v>61</v>
      </c>
      <c r="H1672" s="443"/>
      <c r="I1672" s="340"/>
      <c r="J1672" s="340"/>
      <c r="K1672" s="340">
        <v>7.0000000000000007E-2</v>
      </c>
      <c r="L1672" s="459"/>
      <c r="M1672" s="123"/>
      <c r="N1672" s="118">
        <v>2.5299999999999998</v>
      </c>
      <c r="O1672" s="119">
        <f t="shared" si="65"/>
        <v>0.17710000000000001</v>
      </c>
    </row>
    <row r="1673" spans="1:15" s="129" customFormat="1">
      <c r="A1673" s="468"/>
      <c r="B1673" s="468"/>
      <c r="C1673" s="1001" t="s">
        <v>1819</v>
      </c>
      <c r="D1673" s="1001"/>
      <c r="E1673" s="1001"/>
      <c r="F1673" s="1001"/>
      <c r="G1673" s="343" t="s">
        <v>61</v>
      </c>
      <c r="H1673" s="443"/>
      <c r="I1673" s="340"/>
      <c r="J1673" s="340"/>
      <c r="K1673" s="340">
        <v>7.0000000000000007E-2</v>
      </c>
      <c r="L1673" s="459"/>
      <c r="M1673" s="123"/>
      <c r="N1673" s="118">
        <v>3.63</v>
      </c>
      <c r="O1673" s="119">
        <f t="shared" si="65"/>
        <v>0.25409999999999999</v>
      </c>
    </row>
    <row r="1674" spans="1:15" s="129" customFormat="1">
      <c r="A1674" s="468"/>
      <c r="B1674" s="468"/>
      <c r="C1674" s="1001" t="s">
        <v>1820</v>
      </c>
      <c r="D1674" s="1001"/>
      <c r="E1674" s="1001"/>
      <c r="F1674" s="1001"/>
      <c r="G1674" s="343" t="s">
        <v>61</v>
      </c>
      <c r="H1674" s="443"/>
      <c r="I1674" s="340"/>
      <c r="J1674" s="340"/>
      <c r="K1674" s="340">
        <v>7.0000000000000007E-2</v>
      </c>
      <c r="L1674" s="459"/>
      <c r="M1674" s="123"/>
      <c r="N1674" s="118">
        <v>18.579000000000001</v>
      </c>
      <c r="O1674" s="119">
        <f t="shared" si="65"/>
        <v>1.3005300000000002</v>
      </c>
    </row>
    <row r="1675" spans="1:15" s="129" customFormat="1">
      <c r="A1675" s="468"/>
      <c r="B1675" s="468"/>
      <c r="C1675" s="1001" t="s">
        <v>1821</v>
      </c>
      <c r="D1675" s="1001"/>
      <c r="E1675" s="1001"/>
      <c r="F1675" s="1001"/>
      <c r="G1675" s="343" t="s">
        <v>61</v>
      </c>
      <c r="H1675" s="443"/>
      <c r="I1675" s="340"/>
      <c r="J1675" s="340"/>
      <c r="K1675" s="340">
        <v>7.0000000000000007E-2</v>
      </c>
      <c r="L1675" s="459"/>
      <c r="M1675" s="123"/>
      <c r="N1675" s="118">
        <v>12.496</v>
      </c>
      <c r="O1675" s="119">
        <f t="shared" si="65"/>
        <v>0.87472000000000016</v>
      </c>
    </row>
    <row r="1676" spans="1:15" s="129" customFormat="1">
      <c r="A1676" s="468"/>
      <c r="B1676" s="468"/>
      <c r="C1676" s="1001" t="s">
        <v>1822</v>
      </c>
      <c r="D1676" s="1001"/>
      <c r="E1676" s="1001"/>
      <c r="F1676" s="1001"/>
      <c r="G1676" s="343" t="s">
        <v>61</v>
      </c>
      <c r="H1676" s="443"/>
      <c r="I1676" s="340"/>
      <c r="J1676" s="340"/>
      <c r="K1676" s="340">
        <v>7.0000000000000007E-2</v>
      </c>
      <c r="L1676" s="459"/>
      <c r="M1676" s="123"/>
      <c r="N1676" s="118">
        <v>26.015000000000001</v>
      </c>
      <c r="O1676" s="119">
        <f t="shared" si="65"/>
        <v>1.8210500000000003</v>
      </c>
    </row>
    <row r="1677" spans="1:15" s="129" customFormat="1">
      <c r="A1677" s="468"/>
      <c r="B1677" s="468"/>
      <c r="C1677" s="1001" t="s">
        <v>1979</v>
      </c>
      <c r="D1677" s="1001"/>
      <c r="E1677" s="1001"/>
      <c r="F1677" s="1001"/>
      <c r="G1677" s="343" t="s">
        <v>61</v>
      </c>
      <c r="H1677" s="443"/>
      <c r="I1677" s="340"/>
      <c r="J1677" s="340"/>
      <c r="K1677" s="340">
        <v>7.0000000000000007E-2</v>
      </c>
      <c r="L1677" s="459"/>
      <c r="M1677" s="309"/>
      <c r="N1677" s="118">
        <v>2.7170000000000005</v>
      </c>
      <c r="O1677" s="119">
        <f t="shared" si="65"/>
        <v>0.19019000000000005</v>
      </c>
    </row>
    <row r="1678" spans="1:15" s="129" customFormat="1">
      <c r="A1678" s="468"/>
      <c r="B1678" s="468"/>
      <c r="C1678" s="1001" t="s">
        <v>1842</v>
      </c>
      <c r="D1678" s="1001"/>
      <c r="E1678" s="1001"/>
      <c r="F1678" s="1001"/>
      <c r="G1678" s="343" t="s">
        <v>61</v>
      </c>
      <c r="H1678" s="443"/>
      <c r="I1678" s="340"/>
      <c r="J1678" s="340"/>
      <c r="K1678" s="340">
        <v>7.0000000000000007E-2</v>
      </c>
      <c r="L1678" s="459"/>
      <c r="M1678" s="587"/>
      <c r="N1678" s="118">
        <v>44.704000000000008</v>
      </c>
      <c r="O1678" s="119">
        <f t="shared" si="65"/>
        <v>3.1292800000000009</v>
      </c>
    </row>
    <row r="1679" spans="1:15" s="129" customFormat="1">
      <c r="A1679" s="468"/>
      <c r="B1679" s="468"/>
      <c r="C1679" s="1001" t="s">
        <v>1843</v>
      </c>
      <c r="D1679" s="1001"/>
      <c r="E1679" s="1001"/>
      <c r="F1679" s="1001"/>
      <c r="G1679" s="343" t="s">
        <v>61</v>
      </c>
      <c r="H1679" s="443"/>
      <c r="I1679" s="340"/>
      <c r="J1679" s="340"/>
      <c r="K1679" s="340">
        <v>7.0000000000000007E-2</v>
      </c>
      <c r="L1679" s="459"/>
      <c r="M1679" s="587"/>
      <c r="N1679" s="118">
        <v>5.8849999999999998</v>
      </c>
      <c r="O1679" s="119">
        <f t="shared" si="65"/>
        <v>0.41195000000000004</v>
      </c>
    </row>
    <row r="1680" spans="1:15" s="129" customFormat="1">
      <c r="A1680" s="468"/>
      <c r="B1680" s="468"/>
      <c r="C1680" s="1001" t="s">
        <v>1830</v>
      </c>
      <c r="D1680" s="1001"/>
      <c r="E1680" s="1001"/>
      <c r="F1680" s="1001"/>
      <c r="G1680" s="343" t="s">
        <v>61</v>
      </c>
      <c r="H1680" s="443"/>
      <c r="I1680" s="340"/>
      <c r="J1680" s="340"/>
      <c r="K1680" s="340">
        <v>7.0000000000000007E-2</v>
      </c>
      <c r="L1680" s="457"/>
      <c r="M1680" s="587"/>
      <c r="N1680" s="118">
        <v>11.990000000000002</v>
      </c>
      <c r="O1680" s="119">
        <f t="shared" si="65"/>
        <v>0.83930000000000027</v>
      </c>
    </row>
    <row r="1681" spans="1:15" s="129" customFormat="1">
      <c r="A1681" s="468"/>
      <c r="B1681" s="468"/>
      <c r="C1681" s="1001" t="s">
        <v>1824</v>
      </c>
      <c r="D1681" s="1001"/>
      <c r="E1681" s="1001"/>
      <c r="F1681" s="1001"/>
      <c r="G1681" s="343" t="s">
        <v>61</v>
      </c>
      <c r="H1681" s="443"/>
      <c r="I1681" s="340"/>
      <c r="J1681" s="340"/>
      <c r="K1681" s="340">
        <v>7.0000000000000007E-2</v>
      </c>
      <c r="L1681" s="457"/>
      <c r="M1681" s="587"/>
      <c r="N1681" s="118">
        <v>20.460000000000004</v>
      </c>
      <c r="O1681" s="119">
        <f t="shared" si="65"/>
        <v>1.4322000000000004</v>
      </c>
    </row>
    <row r="1682" spans="1:15" s="129" customFormat="1">
      <c r="A1682" s="468"/>
      <c r="B1682" s="468"/>
      <c r="C1682" s="1001" t="s">
        <v>1855</v>
      </c>
      <c r="D1682" s="1001"/>
      <c r="E1682" s="1001"/>
      <c r="F1682" s="1001"/>
      <c r="G1682" s="343" t="s">
        <v>61</v>
      </c>
      <c r="H1682" s="443"/>
      <c r="I1682" s="340"/>
      <c r="J1682" s="340"/>
      <c r="K1682" s="340">
        <v>7.0000000000000007E-2</v>
      </c>
      <c r="L1682" s="457"/>
      <c r="M1682" s="587"/>
      <c r="N1682" s="118">
        <v>34.452000000000005</v>
      </c>
      <c r="O1682" s="119">
        <f t="shared" si="65"/>
        <v>2.4116400000000007</v>
      </c>
    </row>
    <row r="1683" spans="1:15" s="129" customFormat="1">
      <c r="A1683" s="468"/>
      <c r="B1683" s="468"/>
      <c r="C1683" s="1001" t="s">
        <v>1826</v>
      </c>
      <c r="D1683" s="1001"/>
      <c r="E1683" s="1001"/>
      <c r="F1683" s="1001"/>
      <c r="G1683" s="343" t="s">
        <v>61</v>
      </c>
      <c r="H1683" s="443"/>
      <c r="I1683" s="340"/>
      <c r="J1683" s="340"/>
      <c r="K1683" s="340">
        <v>7.0000000000000007E-2</v>
      </c>
      <c r="L1683" s="459"/>
      <c r="M1683" s="309"/>
      <c r="N1683" s="118">
        <v>5.6980000000000004</v>
      </c>
      <c r="O1683" s="119">
        <f t="shared" si="65"/>
        <v>0.39886000000000005</v>
      </c>
    </row>
    <row r="1684" spans="1:15" s="129" customFormat="1">
      <c r="A1684" s="468"/>
      <c r="B1684" s="468"/>
      <c r="C1684" s="1001" t="s">
        <v>1980</v>
      </c>
      <c r="D1684" s="1001"/>
      <c r="E1684" s="1001"/>
      <c r="F1684" s="1001"/>
      <c r="G1684" s="343" t="s">
        <v>61</v>
      </c>
      <c r="H1684" s="443"/>
      <c r="I1684" s="340"/>
      <c r="J1684" s="340"/>
      <c r="K1684" s="340">
        <v>7.0000000000000007E-2</v>
      </c>
      <c r="L1684" s="459"/>
      <c r="M1684" s="309"/>
      <c r="N1684" s="118">
        <v>5.1920000000000002</v>
      </c>
      <c r="O1684" s="119">
        <f t="shared" si="65"/>
        <v>0.36344000000000004</v>
      </c>
    </row>
    <row r="1685" spans="1:15" s="129" customFormat="1">
      <c r="A1685" s="468"/>
      <c r="B1685" s="468"/>
      <c r="C1685" s="1001" t="s">
        <v>1981</v>
      </c>
      <c r="D1685" s="1001"/>
      <c r="E1685" s="1001"/>
      <c r="F1685" s="1001"/>
      <c r="G1685" s="343" t="s">
        <v>61</v>
      </c>
      <c r="H1685" s="443"/>
      <c r="I1685" s="340"/>
      <c r="J1685" s="340"/>
      <c r="K1685" s="340">
        <v>7.0000000000000007E-2</v>
      </c>
      <c r="L1685" s="459"/>
      <c r="M1685" s="309"/>
      <c r="N1685" s="118">
        <v>5.1920000000000002</v>
      </c>
      <c r="O1685" s="119">
        <f t="shared" si="65"/>
        <v>0.36344000000000004</v>
      </c>
    </row>
    <row r="1686" spans="1:15" s="129" customFormat="1">
      <c r="A1686" s="468"/>
      <c r="B1686" s="468"/>
      <c r="C1686" s="1001" t="s">
        <v>1830</v>
      </c>
      <c r="D1686" s="1001"/>
      <c r="E1686" s="1001"/>
      <c r="F1686" s="1001"/>
      <c r="G1686" s="343" t="s">
        <v>61</v>
      </c>
      <c r="H1686" s="443"/>
      <c r="I1686" s="340"/>
      <c r="J1686" s="340"/>
      <c r="K1686" s="340">
        <v>7.0000000000000007E-2</v>
      </c>
      <c r="L1686" s="459"/>
      <c r="M1686" s="309"/>
      <c r="N1686" s="118">
        <v>12.870000000000003</v>
      </c>
      <c r="O1686" s="119">
        <f t="shared" si="65"/>
        <v>0.90090000000000026</v>
      </c>
    </row>
    <row r="1687" spans="1:15" s="129" customFormat="1">
      <c r="A1687" s="468"/>
      <c r="B1687" s="468"/>
      <c r="C1687" s="1001" t="s">
        <v>1831</v>
      </c>
      <c r="D1687" s="1001"/>
      <c r="E1687" s="1001"/>
      <c r="F1687" s="1001"/>
      <c r="G1687" s="343" t="s">
        <v>61</v>
      </c>
      <c r="H1687" s="443"/>
      <c r="I1687" s="340"/>
      <c r="J1687" s="340"/>
      <c r="K1687" s="340">
        <v>7.0000000000000007E-2</v>
      </c>
      <c r="L1687" s="459"/>
      <c r="M1687" s="309"/>
      <c r="N1687" s="118">
        <v>148.5</v>
      </c>
      <c r="O1687" s="119">
        <f t="shared" si="65"/>
        <v>10.395000000000001</v>
      </c>
    </row>
    <row r="1688" spans="1:15" s="129" customFormat="1">
      <c r="A1688" s="468"/>
      <c r="B1688" s="468"/>
      <c r="C1688" s="1001" t="s">
        <v>1982</v>
      </c>
      <c r="D1688" s="1001"/>
      <c r="E1688" s="1001"/>
      <c r="F1688" s="1001"/>
      <c r="G1688" s="343" t="s">
        <v>61</v>
      </c>
      <c r="H1688" s="340"/>
      <c r="I1688" s="340"/>
      <c r="J1688" s="119"/>
      <c r="K1688" s="340">
        <v>7.0000000000000007E-2</v>
      </c>
      <c r="L1688" s="119"/>
      <c r="M1688" s="587"/>
      <c r="N1688" s="118">
        <v>41.305</v>
      </c>
      <c r="O1688" s="119">
        <f t="shared" si="65"/>
        <v>2.8913500000000001</v>
      </c>
    </row>
    <row r="1689" spans="1:15" s="129" customFormat="1">
      <c r="A1689" s="468"/>
      <c r="B1689" s="468"/>
      <c r="C1689" s="1001" t="s">
        <v>1983</v>
      </c>
      <c r="D1689" s="1001"/>
      <c r="E1689" s="1001"/>
      <c r="F1689" s="1001"/>
      <c r="G1689" s="343" t="s">
        <v>61</v>
      </c>
      <c r="H1689" s="443"/>
      <c r="I1689" s="340"/>
      <c r="J1689" s="458"/>
      <c r="K1689" s="340">
        <v>7.0000000000000007E-2</v>
      </c>
      <c r="L1689" s="458"/>
      <c r="M1689" s="309"/>
      <c r="N1689" s="118">
        <v>3.5640000000000005</v>
      </c>
      <c r="O1689" s="119">
        <f t="shared" si="65"/>
        <v>0.24948000000000006</v>
      </c>
    </row>
    <row r="1690" spans="1:15" s="129" customFormat="1">
      <c r="A1690" s="468"/>
      <c r="B1690" s="468"/>
      <c r="C1690" s="1001" t="s">
        <v>1984</v>
      </c>
      <c r="D1690" s="1001"/>
      <c r="E1690" s="1001"/>
      <c r="F1690" s="1001"/>
      <c r="G1690" s="343" t="s">
        <v>61</v>
      </c>
      <c r="H1690" s="443"/>
      <c r="I1690" s="340"/>
      <c r="J1690" s="340"/>
      <c r="K1690" s="340">
        <v>7.0000000000000007E-2</v>
      </c>
      <c r="L1690" s="457"/>
      <c r="M1690" s="309"/>
      <c r="N1690" s="118">
        <v>3.5640000000000005</v>
      </c>
      <c r="O1690" s="119">
        <f t="shared" si="65"/>
        <v>0.24948000000000006</v>
      </c>
    </row>
    <row r="1691" spans="1:15" s="129" customFormat="1">
      <c r="A1691" s="468"/>
      <c r="B1691" s="468"/>
      <c r="C1691" s="1001" t="s">
        <v>1832</v>
      </c>
      <c r="D1691" s="1001"/>
      <c r="E1691" s="1001"/>
      <c r="F1691" s="1001"/>
      <c r="G1691" s="343" t="s">
        <v>61</v>
      </c>
      <c r="H1691" s="443"/>
      <c r="I1691" s="340"/>
      <c r="J1691" s="340"/>
      <c r="K1691" s="340">
        <v>7.0000000000000007E-2</v>
      </c>
      <c r="L1691" s="457"/>
      <c r="M1691" s="309"/>
      <c r="N1691" s="118">
        <v>2.1779999999999999</v>
      </c>
      <c r="O1691" s="119">
        <f t="shared" si="65"/>
        <v>0.15246000000000001</v>
      </c>
    </row>
    <row r="1692" spans="1:15" s="129" customFormat="1">
      <c r="A1692" s="468"/>
      <c r="B1692" s="468"/>
      <c r="C1692" s="1001" t="s">
        <v>1833</v>
      </c>
      <c r="D1692" s="1001"/>
      <c r="E1692" s="1001"/>
      <c r="F1692" s="1001"/>
      <c r="G1692" s="343" t="s">
        <v>61</v>
      </c>
      <c r="H1692" s="443"/>
      <c r="I1692" s="340"/>
      <c r="J1692" s="340"/>
      <c r="K1692" s="340">
        <v>7.0000000000000007E-2</v>
      </c>
      <c r="L1692" s="457"/>
      <c r="M1692" s="309"/>
      <c r="N1692" s="118">
        <v>2.1779999999999999</v>
      </c>
      <c r="O1692" s="119">
        <f t="shared" si="65"/>
        <v>0.15246000000000001</v>
      </c>
    </row>
    <row r="1693" spans="1:15" s="129" customFormat="1">
      <c r="A1693" s="468"/>
      <c r="B1693" s="468"/>
      <c r="C1693" s="1000" t="s">
        <v>1570</v>
      </c>
      <c r="D1693" s="1000"/>
      <c r="E1693" s="1000"/>
      <c r="F1693" s="1000"/>
      <c r="G1693" s="343" t="s">
        <v>61</v>
      </c>
      <c r="H1693" s="443"/>
      <c r="I1693" s="340">
        <v>1.2</v>
      </c>
      <c r="J1693" s="340"/>
      <c r="K1693" s="340">
        <v>7.0000000000000007E-2</v>
      </c>
      <c r="L1693" s="118">
        <v>18.7</v>
      </c>
      <c r="M1693" s="309"/>
      <c r="N1693" s="118">
        <v>24.684000000000001</v>
      </c>
      <c r="O1693" s="119">
        <f t="shared" si="65"/>
        <v>1.7278800000000003</v>
      </c>
    </row>
    <row r="1694" spans="1:15" s="129" customFormat="1">
      <c r="A1694" s="468"/>
      <c r="B1694" s="468"/>
      <c r="C1694" s="1000" t="s">
        <v>1571</v>
      </c>
      <c r="D1694" s="1000"/>
      <c r="E1694" s="1000"/>
      <c r="F1694" s="1000"/>
      <c r="G1694" s="343" t="s">
        <v>61</v>
      </c>
      <c r="H1694" s="443"/>
      <c r="I1694" s="340">
        <v>4.4000000000000004</v>
      </c>
      <c r="J1694" s="340"/>
      <c r="K1694" s="340">
        <v>7.0000000000000007E-2</v>
      </c>
      <c r="L1694" s="118">
        <v>1.8</v>
      </c>
      <c r="M1694" s="309"/>
      <c r="N1694" s="118">
        <v>8.7120000000000015</v>
      </c>
      <c r="O1694" s="119">
        <f t="shared" si="65"/>
        <v>0.60984000000000016</v>
      </c>
    </row>
    <row r="1695" spans="1:15" s="129" customFormat="1">
      <c r="A1695" s="468"/>
      <c r="B1695" s="468"/>
      <c r="C1695" s="1000" t="s">
        <v>1572</v>
      </c>
      <c r="D1695" s="1000"/>
      <c r="E1695" s="1000"/>
      <c r="F1695" s="1000"/>
      <c r="G1695" s="343" t="s">
        <v>61</v>
      </c>
      <c r="H1695" s="443"/>
      <c r="I1695" s="340">
        <v>1.2</v>
      </c>
      <c r="J1695" s="340"/>
      <c r="K1695" s="340">
        <v>7.0000000000000007E-2</v>
      </c>
      <c r="L1695" s="118">
        <v>13.5</v>
      </c>
      <c r="M1695" s="309"/>
      <c r="N1695" s="118">
        <v>17.82</v>
      </c>
      <c r="O1695" s="119">
        <f t="shared" si="65"/>
        <v>1.2474000000000001</v>
      </c>
    </row>
    <row r="1696" spans="1:15" s="129" customFormat="1">
      <c r="A1696" s="468"/>
      <c r="B1696" s="468"/>
      <c r="C1696" s="1000" t="s">
        <v>1573</v>
      </c>
      <c r="D1696" s="1000"/>
      <c r="E1696" s="1000"/>
      <c r="F1696" s="1000"/>
      <c r="G1696" s="343" t="s">
        <v>61</v>
      </c>
      <c r="H1696" s="443"/>
      <c r="I1696" s="340">
        <v>2.4500000000000002</v>
      </c>
      <c r="J1696" s="340"/>
      <c r="K1696" s="340">
        <v>7.0000000000000007E-2</v>
      </c>
      <c r="L1696" s="118">
        <v>7</v>
      </c>
      <c r="M1696" s="309"/>
      <c r="N1696" s="118">
        <v>18.865000000000006</v>
      </c>
      <c r="O1696" s="119">
        <f t="shared" si="65"/>
        <v>1.3205500000000006</v>
      </c>
    </row>
    <row r="1697" spans="1:15" s="129" customFormat="1">
      <c r="A1697" s="468"/>
      <c r="B1697" s="468"/>
      <c r="C1697" s="1000" t="s">
        <v>1574</v>
      </c>
      <c r="D1697" s="1000"/>
      <c r="E1697" s="1000"/>
      <c r="F1697" s="1000"/>
      <c r="G1697" s="343" t="s">
        <v>61</v>
      </c>
      <c r="H1697" s="443"/>
      <c r="I1697" s="340">
        <v>0.9</v>
      </c>
      <c r="J1697" s="340"/>
      <c r="K1697" s="340">
        <v>7.0000000000000007E-2</v>
      </c>
      <c r="L1697" s="118">
        <v>2.7</v>
      </c>
      <c r="M1697" s="309"/>
      <c r="N1697" s="118">
        <v>2.6730000000000005</v>
      </c>
      <c r="O1697" s="119">
        <f t="shared" si="65"/>
        <v>0.18711000000000005</v>
      </c>
    </row>
    <row r="1698" spans="1:15" ht="40.9" customHeight="1">
      <c r="A1698" s="377">
        <f>ORÇAMENTO!A185</f>
        <v>87702</v>
      </c>
      <c r="B1698" s="377" t="str">
        <f>ORÇAMENTO!C185</f>
        <v>11.01.04</v>
      </c>
      <c r="C1698" s="1003" t="str">
        <f>ORÇAMENTO!D185</f>
        <v>CONTRAPISO EM ARGAMASSA TRAÇO 1:4 (CIMENTO E AREIA), PREPARO MANUAL, APLICADO EM ÁREAS SECAS SOBRE LAJE, NÃO ADERIDO, ACABAMENTO NÃO REFORÇADO, ESPESSURA 6CM. AF_07/2021</v>
      </c>
      <c r="D1698" s="1003"/>
      <c r="E1698" s="1003"/>
      <c r="F1698" s="1003"/>
      <c r="G1698" s="425"/>
      <c r="H1698" s="383"/>
      <c r="I1698" s="380"/>
      <c r="J1698" s="380"/>
      <c r="K1698" s="115"/>
      <c r="L1698" s="115"/>
      <c r="M1698" s="115"/>
      <c r="N1698" s="116">
        <f>SUM(N1699:N1737)</f>
        <v>825.72599999999977</v>
      </c>
      <c r="O1698" s="116"/>
    </row>
    <row r="1699" spans="1:15" s="129" customFormat="1">
      <c r="A1699" s="468"/>
      <c r="B1699" s="468"/>
      <c r="C1699" s="1001" t="s">
        <v>1836</v>
      </c>
      <c r="D1699" s="1001"/>
      <c r="E1699" s="1001"/>
      <c r="F1699" s="1001"/>
      <c r="G1699" s="343" t="s">
        <v>61</v>
      </c>
      <c r="H1699" s="443"/>
      <c r="I1699" s="340"/>
      <c r="J1699" s="340"/>
      <c r="K1699" s="340">
        <v>0.03</v>
      </c>
      <c r="L1699" s="382"/>
      <c r="M1699" s="382"/>
      <c r="N1699" s="551">
        <v>13.838000000000001</v>
      </c>
      <c r="O1699" s="119">
        <f>N1699*K1699</f>
        <v>0.41514000000000001</v>
      </c>
    </row>
    <row r="1700" spans="1:15" s="129" customFormat="1">
      <c r="A1700" s="468"/>
      <c r="B1700" s="468"/>
      <c r="C1700" s="1001" t="s">
        <v>1837</v>
      </c>
      <c r="D1700" s="1001"/>
      <c r="E1700" s="1001"/>
      <c r="F1700" s="1001"/>
      <c r="G1700" s="343" t="s">
        <v>61</v>
      </c>
      <c r="H1700" s="443"/>
      <c r="I1700" s="340"/>
      <c r="J1700" s="340"/>
      <c r="K1700" s="340">
        <v>0.03</v>
      </c>
      <c r="L1700" s="382"/>
      <c r="M1700" s="382"/>
      <c r="N1700" s="551">
        <v>14.168000000000003</v>
      </c>
      <c r="O1700" s="119">
        <f t="shared" ref="O1700:O1742" si="66">N1700*K1700</f>
        <v>0.42504000000000008</v>
      </c>
    </row>
    <row r="1701" spans="1:15" s="129" customFormat="1">
      <c r="A1701" s="468"/>
      <c r="B1701" s="468"/>
      <c r="C1701" s="1001" t="s">
        <v>1977</v>
      </c>
      <c r="D1701" s="1001"/>
      <c r="E1701" s="1001"/>
      <c r="F1701" s="1001"/>
      <c r="G1701" s="343" t="s">
        <v>61</v>
      </c>
      <c r="H1701" s="443"/>
      <c r="I1701" s="340"/>
      <c r="J1701" s="340"/>
      <c r="K1701" s="340">
        <v>0.03</v>
      </c>
      <c r="L1701" s="382"/>
      <c r="M1701" s="382"/>
      <c r="N1701" s="118">
        <v>16.230500000000003</v>
      </c>
      <c r="O1701" s="119">
        <f t="shared" si="66"/>
        <v>0.48691500000000004</v>
      </c>
    </row>
    <row r="1702" spans="1:15" s="129" customFormat="1">
      <c r="A1702" s="468"/>
      <c r="B1702" s="468"/>
      <c r="C1702" s="1001" t="s">
        <v>1978</v>
      </c>
      <c r="D1702" s="1001"/>
      <c r="E1702" s="1001"/>
      <c r="F1702" s="1001"/>
      <c r="G1702" s="343" t="s">
        <v>61</v>
      </c>
      <c r="H1702" s="443"/>
      <c r="I1702" s="340"/>
      <c r="J1702" s="340"/>
      <c r="K1702" s="340">
        <v>0.03</v>
      </c>
      <c r="L1702" s="382"/>
      <c r="M1702" s="382"/>
      <c r="N1702" s="118">
        <v>2.2440000000000002</v>
      </c>
      <c r="O1702" s="119">
        <f t="shared" si="66"/>
        <v>6.7320000000000005E-2</v>
      </c>
    </row>
    <row r="1703" spans="1:15" s="129" customFormat="1">
      <c r="A1703" s="468"/>
      <c r="B1703" s="468"/>
      <c r="C1703" s="1001" t="s">
        <v>1839</v>
      </c>
      <c r="D1703" s="1001"/>
      <c r="E1703" s="1001"/>
      <c r="F1703" s="1001"/>
      <c r="G1703" s="343" t="s">
        <v>61</v>
      </c>
      <c r="H1703" s="443"/>
      <c r="I1703" s="340"/>
      <c r="J1703" s="340"/>
      <c r="K1703" s="340">
        <v>0.03</v>
      </c>
      <c r="L1703" s="382"/>
      <c r="M1703" s="382"/>
      <c r="N1703" s="118">
        <v>16.230500000000003</v>
      </c>
      <c r="O1703" s="119">
        <f t="shared" si="66"/>
        <v>0.48691500000000004</v>
      </c>
    </row>
    <row r="1704" spans="1:15" s="129" customFormat="1">
      <c r="A1704" s="468"/>
      <c r="B1704" s="468"/>
      <c r="C1704" s="1001" t="s">
        <v>1840</v>
      </c>
      <c r="D1704" s="1001"/>
      <c r="E1704" s="1001"/>
      <c r="F1704" s="1001"/>
      <c r="G1704" s="343" t="s">
        <v>61</v>
      </c>
      <c r="H1704" s="443"/>
      <c r="I1704" s="340"/>
      <c r="J1704" s="340"/>
      <c r="K1704" s="340">
        <v>0.03</v>
      </c>
      <c r="L1704" s="382"/>
      <c r="M1704" s="382"/>
      <c r="N1704" s="118">
        <v>2.2440000000000002</v>
      </c>
      <c r="O1704" s="119">
        <f t="shared" si="66"/>
        <v>6.7320000000000005E-2</v>
      </c>
    </row>
    <row r="1705" spans="1:15" s="129" customFormat="1">
      <c r="A1705" s="468"/>
      <c r="B1705" s="468"/>
      <c r="C1705" s="1001" t="s">
        <v>1841</v>
      </c>
      <c r="D1705" s="1001"/>
      <c r="E1705" s="1001"/>
      <c r="F1705" s="1001"/>
      <c r="G1705" s="343" t="s">
        <v>61</v>
      </c>
      <c r="H1705" s="443"/>
      <c r="I1705" s="340"/>
      <c r="J1705" s="340"/>
      <c r="K1705" s="340">
        <v>0.03</v>
      </c>
      <c r="L1705" s="382"/>
      <c r="M1705" s="382"/>
      <c r="N1705" s="118">
        <v>173.66800000000001</v>
      </c>
      <c r="O1705" s="119">
        <f t="shared" si="66"/>
        <v>5.2100400000000002</v>
      </c>
    </row>
    <row r="1706" spans="1:15" s="129" customFormat="1">
      <c r="A1706" s="468"/>
      <c r="B1706" s="468"/>
      <c r="C1706" s="1001" t="s">
        <v>1825</v>
      </c>
      <c r="D1706" s="1001"/>
      <c r="E1706" s="1001"/>
      <c r="F1706" s="1001"/>
      <c r="G1706" s="343" t="s">
        <v>61</v>
      </c>
      <c r="H1706" s="443"/>
      <c r="I1706" s="340"/>
      <c r="J1706" s="340"/>
      <c r="K1706" s="340">
        <v>0.03</v>
      </c>
      <c r="L1706" s="382"/>
      <c r="M1706" s="382"/>
      <c r="N1706" s="118">
        <v>25.838999999999999</v>
      </c>
      <c r="O1706" s="119">
        <f t="shared" si="66"/>
        <v>0.77516999999999991</v>
      </c>
    </row>
    <row r="1707" spans="1:15" s="129" customFormat="1">
      <c r="A1707" s="468"/>
      <c r="B1707" s="468"/>
      <c r="C1707" s="1001" t="s">
        <v>1824</v>
      </c>
      <c r="D1707" s="1001"/>
      <c r="E1707" s="1001"/>
      <c r="F1707" s="1001"/>
      <c r="G1707" s="343" t="s">
        <v>61</v>
      </c>
      <c r="H1707" s="443"/>
      <c r="I1707" s="340"/>
      <c r="J1707" s="340"/>
      <c r="K1707" s="340">
        <v>0.03</v>
      </c>
      <c r="L1707" s="382"/>
      <c r="M1707" s="382"/>
      <c r="N1707" s="118">
        <v>20.460000000000004</v>
      </c>
      <c r="O1707" s="119">
        <f t="shared" si="66"/>
        <v>0.61380000000000012</v>
      </c>
    </row>
    <row r="1708" spans="1:15" s="129" customFormat="1">
      <c r="A1708" s="468"/>
      <c r="B1708" s="468"/>
      <c r="C1708" s="1001" t="s">
        <v>1830</v>
      </c>
      <c r="D1708" s="1001"/>
      <c r="E1708" s="1001"/>
      <c r="F1708" s="1001"/>
      <c r="G1708" s="343" t="s">
        <v>61</v>
      </c>
      <c r="H1708" s="443"/>
      <c r="I1708" s="340"/>
      <c r="J1708" s="340"/>
      <c r="K1708" s="340">
        <v>0.03</v>
      </c>
      <c r="L1708" s="382"/>
      <c r="M1708" s="382"/>
      <c r="N1708" s="118">
        <v>11.990000000000002</v>
      </c>
      <c r="O1708" s="119">
        <f t="shared" si="66"/>
        <v>0.35970000000000002</v>
      </c>
    </row>
    <row r="1709" spans="1:15" s="129" customFormat="1">
      <c r="A1709" s="468"/>
      <c r="B1709" s="468"/>
      <c r="C1709" s="1001" t="s">
        <v>1822</v>
      </c>
      <c r="D1709" s="1001"/>
      <c r="E1709" s="1001"/>
      <c r="F1709" s="1001"/>
      <c r="G1709" s="343" t="s">
        <v>61</v>
      </c>
      <c r="H1709" s="443"/>
      <c r="I1709" s="340"/>
      <c r="J1709" s="340"/>
      <c r="K1709" s="340">
        <v>0.03</v>
      </c>
      <c r="L1709" s="382"/>
      <c r="M1709" s="382"/>
      <c r="N1709" s="118">
        <v>26.015000000000001</v>
      </c>
      <c r="O1709" s="119">
        <f t="shared" si="66"/>
        <v>0.78044999999999998</v>
      </c>
    </row>
    <row r="1710" spans="1:15" s="129" customFormat="1">
      <c r="A1710" s="468"/>
      <c r="B1710" s="468"/>
      <c r="C1710" s="1001" t="s">
        <v>1823</v>
      </c>
      <c r="D1710" s="1001"/>
      <c r="E1710" s="1001"/>
      <c r="F1710" s="1001"/>
      <c r="G1710" s="343" t="s">
        <v>61</v>
      </c>
      <c r="H1710" s="443"/>
      <c r="I1710" s="340"/>
      <c r="J1710" s="340"/>
      <c r="K1710" s="340">
        <v>0.03</v>
      </c>
      <c r="L1710" s="382"/>
      <c r="M1710" s="382"/>
      <c r="N1710" s="118">
        <v>2.7170000000000005</v>
      </c>
      <c r="O1710" s="119">
        <f t="shared" si="66"/>
        <v>8.1510000000000013E-2</v>
      </c>
    </row>
    <row r="1711" spans="1:15" s="129" customFormat="1">
      <c r="A1711" s="468"/>
      <c r="B1711" s="468"/>
      <c r="C1711" s="1001" t="s">
        <v>1842</v>
      </c>
      <c r="D1711" s="1001"/>
      <c r="E1711" s="1001"/>
      <c r="F1711" s="1001"/>
      <c r="G1711" s="343" t="s">
        <v>61</v>
      </c>
      <c r="H1711" s="443"/>
      <c r="I1711" s="340"/>
      <c r="J1711" s="340"/>
      <c r="K1711" s="340">
        <v>0.03</v>
      </c>
      <c r="L1711" s="459"/>
      <c r="M1711" s="459"/>
      <c r="N1711" s="118">
        <v>44.704000000000008</v>
      </c>
      <c r="O1711" s="119">
        <f t="shared" si="66"/>
        <v>1.3411200000000001</v>
      </c>
    </row>
    <row r="1712" spans="1:15" s="129" customFormat="1">
      <c r="A1712" s="468"/>
      <c r="B1712" s="468"/>
      <c r="C1712" s="1001" t="s">
        <v>1843</v>
      </c>
      <c r="D1712" s="1001"/>
      <c r="E1712" s="1001"/>
      <c r="F1712" s="1001"/>
      <c r="G1712" s="343" t="s">
        <v>61</v>
      </c>
      <c r="H1712" s="443"/>
      <c r="I1712" s="340"/>
      <c r="J1712" s="340"/>
      <c r="K1712" s="340">
        <v>0.03</v>
      </c>
      <c r="L1712" s="459"/>
      <c r="M1712" s="459"/>
      <c r="N1712" s="118">
        <v>5.8849999999999998</v>
      </c>
      <c r="O1712" s="119">
        <f t="shared" si="66"/>
        <v>0.17654999999999998</v>
      </c>
    </row>
    <row r="1713" spans="1:15" s="129" customFormat="1">
      <c r="A1713" s="468"/>
      <c r="B1713" s="468"/>
      <c r="C1713" s="1001" t="s">
        <v>1814</v>
      </c>
      <c r="D1713" s="1001"/>
      <c r="E1713" s="1001"/>
      <c r="F1713" s="1001"/>
      <c r="G1713" s="343" t="s">
        <v>61</v>
      </c>
      <c r="H1713" s="443"/>
      <c r="I1713" s="340"/>
      <c r="J1713" s="340"/>
      <c r="K1713" s="340">
        <v>0.03</v>
      </c>
      <c r="L1713" s="459"/>
      <c r="M1713" s="459"/>
      <c r="N1713" s="118">
        <v>8.8000000000000007</v>
      </c>
      <c r="O1713" s="119">
        <f t="shared" si="66"/>
        <v>0.26400000000000001</v>
      </c>
    </row>
    <row r="1714" spans="1:15" s="129" customFormat="1">
      <c r="A1714" s="468"/>
      <c r="B1714" s="468"/>
      <c r="C1714" s="1001" t="s">
        <v>1815</v>
      </c>
      <c r="D1714" s="1001"/>
      <c r="E1714" s="1001"/>
      <c r="F1714" s="1001"/>
      <c r="G1714" s="343" t="s">
        <v>61</v>
      </c>
      <c r="H1714" s="443"/>
      <c r="I1714" s="340"/>
      <c r="J1714" s="340"/>
      <c r="K1714" s="340">
        <v>0.03</v>
      </c>
      <c r="L1714" s="459"/>
      <c r="M1714" s="459"/>
      <c r="N1714" s="118">
        <v>12.672000000000001</v>
      </c>
      <c r="O1714" s="119">
        <f t="shared" si="66"/>
        <v>0.38016</v>
      </c>
    </row>
    <row r="1715" spans="1:15" s="129" customFormat="1">
      <c r="A1715" s="468"/>
      <c r="B1715" s="468"/>
      <c r="C1715" s="1001" t="s">
        <v>1816</v>
      </c>
      <c r="D1715" s="1001"/>
      <c r="E1715" s="1001"/>
      <c r="F1715" s="1001"/>
      <c r="G1715" s="343" t="s">
        <v>61</v>
      </c>
      <c r="H1715" s="443"/>
      <c r="I1715" s="340"/>
      <c r="J1715" s="340"/>
      <c r="K1715" s="340">
        <v>0.03</v>
      </c>
      <c r="L1715" s="459"/>
      <c r="M1715" s="123"/>
      <c r="N1715" s="118">
        <v>7.1610000000000005</v>
      </c>
      <c r="O1715" s="119">
        <f t="shared" si="66"/>
        <v>0.21482999999999999</v>
      </c>
    </row>
    <row r="1716" spans="1:15" s="129" customFormat="1">
      <c r="A1716" s="468"/>
      <c r="B1716" s="468"/>
      <c r="C1716" s="1001" t="s">
        <v>1817</v>
      </c>
      <c r="D1716" s="1001"/>
      <c r="E1716" s="1001"/>
      <c r="F1716" s="1001"/>
      <c r="G1716" s="343" t="s">
        <v>61</v>
      </c>
      <c r="H1716" s="443"/>
      <c r="I1716" s="340"/>
      <c r="J1716" s="340"/>
      <c r="K1716" s="340">
        <v>0.03</v>
      </c>
      <c r="L1716" s="459"/>
      <c r="M1716" s="123"/>
      <c r="N1716" s="118">
        <v>7.1610000000000005</v>
      </c>
      <c r="O1716" s="119">
        <f t="shared" si="66"/>
        <v>0.21482999999999999</v>
      </c>
    </row>
    <row r="1717" spans="1:15" s="129" customFormat="1" ht="14.25" customHeight="1">
      <c r="A1717" s="468"/>
      <c r="B1717" s="468"/>
      <c r="C1717" s="1001" t="s">
        <v>1818</v>
      </c>
      <c r="D1717" s="1001"/>
      <c r="E1717" s="1001"/>
      <c r="F1717" s="1001"/>
      <c r="G1717" s="343" t="s">
        <v>61</v>
      </c>
      <c r="H1717" s="443"/>
      <c r="I1717" s="340"/>
      <c r="J1717" s="340"/>
      <c r="K1717" s="340">
        <v>0.03</v>
      </c>
      <c r="L1717" s="459"/>
      <c r="M1717" s="123"/>
      <c r="N1717" s="118">
        <v>2.5299999999999998</v>
      </c>
      <c r="O1717" s="119">
        <f t="shared" si="66"/>
        <v>7.5899999999999995E-2</v>
      </c>
    </row>
    <row r="1718" spans="1:15" s="129" customFormat="1">
      <c r="A1718" s="468"/>
      <c r="B1718" s="468"/>
      <c r="C1718" s="1001" t="s">
        <v>1819</v>
      </c>
      <c r="D1718" s="1001"/>
      <c r="E1718" s="1001"/>
      <c r="F1718" s="1001"/>
      <c r="G1718" s="343" t="s">
        <v>61</v>
      </c>
      <c r="H1718" s="443"/>
      <c r="I1718" s="340"/>
      <c r="J1718" s="340"/>
      <c r="K1718" s="340">
        <v>0.03</v>
      </c>
      <c r="L1718" s="459"/>
      <c r="M1718" s="123"/>
      <c r="N1718" s="118">
        <v>3.63</v>
      </c>
      <c r="O1718" s="119">
        <f t="shared" si="66"/>
        <v>0.1089</v>
      </c>
    </row>
    <row r="1719" spans="1:15" s="129" customFormat="1">
      <c r="A1719" s="468"/>
      <c r="B1719" s="468"/>
      <c r="C1719" s="1001" t="s">
        <v>1820</v>
      </c>
      <c r="D1719" s="1001"/>
      <c r="E1719" s="1001"/>
      <c r="F1719" s="1001"/>
      <c r="G1719" s="343" t="s">
        <v>61</v>
      </c>
      <c r="H1719" s="443"/>
      <c r="I1719" s="340"/>
      <c r="J1719" s="340"/>
      <c r="K1719" s="340">
        <v>0.03</v>
      </c>
      <c r="L1719" s="459"/>
      <c r="M1719" s="123"/>
      <c r="N1719" s="118">
        <v>18.579000000000001</v>
      </c>
      <c r="O1719" s="119">
        <f t="shared" si="66"/>
        <v>0.55737000000000003</v>
      </c>
    </row>
    <row r="1720" spans="1:15" s="129" customFormat="1">
      <c r="A1720" s="468"/>
      <c r="B1720" s="468"/>
      <c r="C1720" s="1001" t="s">
        <v>1821</v>
      </c>
      <c r="D1720" s="1001"/>
      <c r="E1720" s="1001"/>
      <c r="F1720" s="1001"/>
      <c r="G1720" s="343" t="s">
        <v>61</v>
      </c>
      <c r="H1720" s="443"/>
      <c r="I1720" s="340"/>
      <c r="J1720" s="340"/>
      <c r="K1720" s="340">
        <v>0.03</v>
      </c>
      <c r="L1720" s="459"/>
      <c r="M1720" s="123"/>
      <c r="N1720" s="118">
        <v>12.496</v>
      </c>
      <c r="O1720" s="119">
        <f t="shared" si="66"/>
        <v>0.37487999999999999</v>
      </c>
    </row>
    <row r="1721" spans="1:15" s="129" customFormat="1">
      <c r="A1721" s="468"/>
      <c r="B1721" s="468"/>
      <c r="C1721" s="1001" t="s">
        <v>1822</v>
      </c>
      <c r="D1721" s="1001"/>
      <c r="E1721" s="1001"/>
      <c r="F1721" s="1001"/>
      <c r="G1721" s="343" t="s">
        <v>61</v>
      </c>
      <c r="H1721" s="443"/>
      <c r="I1721" s="340"/>
      <c r="J1721" s="340"/>
      <c r="K1721" s="340">
        <v>0.03</v>
      </c>
      <c r="L1721" s="459"/>
      <c r="M1721" s="123"/>
      <c r="N1721" s="118">
        <v>26.015000000000001</v>
      </c>
      <c r="O1721" s="119">
        <f t="shared" si="66"/>
        <v>0.78044999999999998</v>
      </c>
    </row>
    <row r="1722" spans="1:15" s="129" customFormat="1">
      <c r="A1722" s="468"/>
      <c r="B1722" s="468"/>
      <c r="C1722" s="1001" t="s">
        <v>1979</v>
      </c>
      <c r="D1722" s="1001"/>
      <c r="E1722" s="1001"/>
      <c r="F1722" s="1001"/>
      <c r="G1722" s="343" t="s">
        <v>61</v>
      </c>
      <c r="H1722" s="443"/>
      <c r="I1722" s="340"/>
      <c r="J1722" s="340"/>
      <c r="K1722" s="340">
        <v>0.03</v>
      </c>
      <c r="L1722" s="459"/>
      <c r="M1722" s="309"/>
      <c r="N1722" s="118">
        <v>2.7170000000000005</v>
      </c>
      <c r="O1722" s="119">
        <f t="shared" si="66"/>
        <v>8.1510000000000013E-2</v>
      </c>
    </row>
    <row r="1723" spans="1:15" s="129" customFormat="1">
      <c r="A1723" s="468"/>
      <c r="B1723" s="468"/>
      <c r="C1723" s="1001" t="s">
        <v>1842</v>
      </c>
      <c r="D1723" s="1001"/>
      <c r="E1723" s="1001"/>
      <c r="F1723" s="1001"/>
      <c r="G1723" s="343" t="s">
        <v>61</v>
      </c>
      <c r="H1723" s="443"/>
      <c r="I1723" s="340"/>
      <c r="J1723" s="340"/>
      <c r="K1723" s="340">
        <v>0.03</v>
      </c>
      <c r="L1723" s="459"/>
      <c r="M1723" s="587"/>
      <c r="N1723" s="118">
        <v>44.704000000000008</v>
      </c>
      <c r="O1723" s="119">
        <f t="shared" si="66"/>
        <v>1.3411200000000001</v>
      </c>
    </row>
    <row r="1724" spans="1:15" s="129" customFormat="1">
      <c r="A1724" s="468"/>
      <c r="B1724" s="468"/>
      <c r="C1724" s="1001" t="s">
        <v>1843</v>
      </c>
      <c r="D1724" s="1001"/>
      <c r="E1724" s="1001"/>
      <c r="F1724" s="1001"/>
      <c r="G1724" s="343" t="s">
        <v>61</v>
      </c>
      <c r="H1724" s="443"/>
      <c r="I1724" s="340"/>
      <c r="J1724" s="340"/>
      <c r="K1724" s="340">
        <v>0.03</v>
      </c>
      <c r="L1724" s="459"/>
      <c r="M1724" s="587"/>
      <c r="N1724" s="118">
        <v>5.8849999999999998</v>
      </c>
      <c r="O1724" s="119">
        <f t="shared" si="66"/>
        <v>0.17654999999999998</v>
      </c>
    </row>
    <row r="1725" spans="1:15" s="129" customFormat="1">
      <c r="A1725" s="468"/>
      <c r="B1725" s="468"/>
      <c r="C1725" s="1001" t="s">
        <v>1830</v>
      </c>
      <c r="D1725" s="1001"/>
      <c r="E1725" s="1001"/>
      <c r="F1725" s="1001"/>
      <c r="G1725" s="343" t="s">
        <v>61</v>
      </c>
      <c r="H1725" s="443"/>
      <c r="I1725" s="340"/>
      <c r="J1725" s="340"/>
      <c r="K1725" s="340">
        <v>0.03</v>
      </c>
      <c r="L1725" s="457"/>
      <c r="M1725" s="587"/>
      <c r="N1725" s="118">
        <v>11.990000000000002</v>
      </c>
      <c r="O1725" s="119">
        <f t="shared" si="66"/>
        <v>0.35970000000000002</v>
      </c>
    </row>
    <row r="1726" spans="1:15" s="129" customFormat="1">
      <c r="A1726" s="468"/>
      <c r="B1726" s="468"/>
      <c r="C1726" s="1001" t="s">
        <v>1824</v>
      </c>
      <c r="D1726" s="1001"/>
      <c r="E1726" s="1001"/>
      <c r="F1726" s="1001"/>
      <c r="G1726" s="343" t="s">
        <v>61</v>
      </c>
      <c r="H1726" s="443"/>
      <c r="I1726" s="340"/>
      <c r="J1726" s="340"/>
      <c r="K1726" s="340">
        <v>0.03</v>
      </c>
      <c r="L1726" s="457"/>
      <c r="M1726" s="587"/>
      <c r="N1726" s="118">
        <v>20.460000000000004</v>
      </c>
      <c r="O1726" s="119">
        <f t="shared" si="66"/>
        <v>0.61380000000000012</v>
      </c>
    </row>
    <row r="1727" spans="1:15" s="129" customFormat="1">
      <c r="A1727" s="468"/>
      <c r="B1727" s="468"/>
      <c r="C1727" s="1001" t="s">
        <v>1855</v>
      </c>
      <c r="D1727" s="1001"/>
      <c r="E1727" s="1001"/>
      <c r="F1727" s="1001"/>
      <c r="G1727" s="343" t="s">
        <v>61</v>
      </c>
      <c r="H1727" s="443"/>
      <c r="I1727" s="340"/>
      <c r="J1727" s="340"/>
      <c r="K1727" s="340">
        <v>0.03</v>
      </c>
      <c r="L1727" s="457"/>
      <c r="M1727" s="587"/>
      <c r="N1727" s="118">
        <v>34.452000000000005</v>
      </c>
      <c r="O1727" s="119">
        <f t="shared" si="66"/>
        <v>1.03356</v>
      </c>
    </row>
    <row r="1728" spans="1:15" s="129" customFormat="1">
      <c r="A1728" s="468"/>
      <c r="B1728" s="468"/>
      <c r="C1728" s="1001" t="s">
        <v>1826</v>
      </c>
      <c r="D1728" s="1001"/>
      <c r="E1728" s="1001"/>
      <c r="F1728" s="1001"/>
      <c r="G1728" s="343" t="s">
        <v>61</v>
      </c>
      <c r="H1728" s="443"/>
      <c r="I1728" s="340"/>
      <c r="J1728" s="340"/>
      <c r="K1728" s="340">
        <v>0.03</v>
      </c>
      <c r="L1728" s="459"/>
      <c r="M1728" s="309"/>
      <c r="N1728" s="118">
        <v>5.6980000000000004</v>
      </c>
      <c r="O1728" s="119">
        <f t="shared" si="66"/>
        <v>0.17094000000000001</v>
      </c>
    </row>
    <row r="1729" spans="1:19" s="129" customFormat="1">
      <c r="A1729" s="468"/>
      <c r="B1729" s="468"/>
      <c r="C1729" s="1001" t="s">
        <v>1980</v>
      </c>
      <c r="D1729" s="1001"/>
      <c r="E1729" s="1001"/>
      <c r="F1729" s="1001"/>
      <c r="G1729" s="343" t="s">
        <v>61</v>
      </c>
      <c r="H1729" s="443"/>
      <c r="I1729" s="340"/>
      <c r="J1729" s="340"/>
      <c r="K1729" s="340">
        <v>0.03</v>
      </c>
      <c r="L1729" s="459"/>
      <c r="M1729" s="309"/>
      <c r="N1729" s="118">
        <v>5.1920000000000002</v>
      </c>
      <c r="O1729" s="119">
        <f t="shared" si="66"/>
        <v>0.15576000000000001</v>
      </c>
    </row>
    <row r="1730" spans="1:19" s="129" customFormat="1">
      <c r="A1730" s="468"/>
      <c r="B1730" s="468"/>
      <c r="C1730" s="1001" t="s">
        <v>1981</v>
      </c>
      <c r="D1730" s="1001"/>
      <c r="E1730" s="1001"/>
      <c r="F1730" s="1001"/>
      <c r="G1730" s="343" t="s">
        <v>61</v>
      </c>
      <c r="H1730" s="443"/>
      <c r="I1730" s="340"/>
      <c r="J1730" s="340"/>
      <c r="K1730" s="340">
        <v>0.03</v>
      </c>
      <c r="L1730" s="459"/>
      <c r="M1730" s="309"/>
      <c r="N1730" s="118">
        <v>5.1920000000000002</v>
      </c>
      <c r="O1730" s="119">
        <f t="shared" si="66"/>
        <v>0.15576000000000001</v>
      </c>
    </row>
    <row r="1731" spans="1:19" s="129" customFormat="1">
      <c r="A1731" s="468"/>
      <c r="B1731" s="468"/>
      <c r="C1731" s="1001" t="s">
        <v>1830</v>
      </c>
      <c r="D1731" s="1001"/>
      <c r="E1731" s="1001"/>
      <c r="F1731" s="1001"/>
      <c r="G1731" s="343" t="s">
        <v>61</v>
      </c>
      <c r="H1731" s="443"/>
      <c r="I1731" s="340"/>
      <c r="J1731" s="340"/>
      <c r="K1731" s="340">
        <v>0.03</v>
      </c>
      <c r="L1731" s="459"/>
      <c r="M1731" s="309"/>
      <c r="N1731" s="118">
        <v>12.870000000000003</v>
      </c>
      <c r="O1731" s="119">
        <f t="shared" si="66"/>
        <v>0.38610000000000005</v>
      </c>
    </row>
    <row r="1732" spans="1:19" s="129" customFormat="1">
      <c r="A1732" s="468"/>
      <c r="B1732" s="468"/>
      <c r="C1732" s="1001" t="s">
        <v>1831</v>
      </c>
      <c r="D1732" s="1001"/>
      <c r="E1732" s="1001"/>
      <c r="F1732" s="1001"/>
      <c r="G1732" s="343" t="s">
        <v>61</v>
      </c>
      <c r="H1732" s="443"/>
      <c r="I1732" s="340"/>
      <c r="J1732" s="340"/>
      <c r="K1732" s="340">
        <v>0.03</v>
      </c>
      <c r="L1732" s="459"/>
      <c r="M1732" s="309"/>
      <c r="N1732" s="118">
        <v>148.5</v>
      </c>
      <c r="O1732" s="119">
        <f t="shared" si="66"/>
        <v>4.4550000000000001</v>
      </c>
    </row>
    <row r="1733" spans="1:19" s="129" customFormat="1">
      <c r="A1733" s="468"/>
      <c r="B1733" s="468"/>
      <c r="C1733" s="1001" t="s">
        <v>1982</v>
      </c>
      <c r="D1733" s="1001"/>
      <c r="E1733" s="1001"/>
      <c r="F1733" s="1001"/>
      <c r="G1733" s="343" t="s">
        <v>61</v>
      </c>
      <c r="H1733" s="340"/>
      <c r="I1733" s="340"/>
      <c r="J1733" s="119"/>
      <c r="K1733" s="340">
        <v>0.03</v>
      </c>
      <c r="L1733" s="119"/>
      <c r="M1733" s="587"/>
      <c r="N1733" s="118">
        <v>41.305</v>
      </c>
      <c r="O1733" s="119">
        <f t="shared" si="66"/>
        <v>1.23915</v>
      </c>
    </row>
    <row r="1734" spans="1:19" s="129" customFormat="1">
      <c r="A1734" s="468"/>
      <c r="B1734" s="468"/>
      <c r="C1734" s="1001" t="s">
        <v>1983</v>
      </c>
      <c r="D1734" s="1001"/>
      <c r="E1734" s="1001"/>
      <c r="F1734" s="1001"/>
      <c r="G1734" s="343" t="s">
        <v>61</v>
      </c>
      <c r="H1734" s="443"/>
      <c r="I1734" s="340"/>
      <c r="J1734" s="458"/>
      <c r="K1734" s="340">
        <v>0.03</v>
      </c>
      <c r="L1734" s="458"/>
      <c r="M1734" s="309"/>
      <c r="N1734" s="118">
        <v>3.5640000000000005</v>
      </c>
      <c r="O1734" s="119">
        <f t="shared" si="66"/>
        <v>0.10692000000000002</v>
      </c>
    </row>
    <row r="1735" spans="1:19" s="129" customFormat="1">
      <c r="A1735" s="468"/>
      <c r="B1735" s="468"/>
      <c r="C1735" s="1001" t="s">
        <v>1984</v>
      </c>
      <c r="D1735" s="1001"/>
      <c r="E1735" s="1001"/>
      <c r="F1735" s="1001"/>
      <c r="G1735" s="343" t="s">
        <v>61</v>
      </c>
      <c r="H1735" s="443"/>
      <c r="I1735" s="340"/>
      <c r="J1735" s="340"/>
      <c r="K1735" s="340">
        <v>0.03</v>
      </c>
      <c r="L1735" s="457"/>
      <c r="M1735" s="309"/>
      <c r="N1735" s="118">
        <v>3.5640000000000005</v>
      </c>
      <c r="O1735" s="119">
        <f t="shared" si="66"/>
        <v>0.10692000000000002</v>
      </c>
    </row>
    <row r="1736" spans="1:19" s="129" customFormat="1">
      <c r="A1736" s="468"/>
      <c r="B1736" s="468"/>
      <c r="C1736" s="1001" t="s">
        <v>1832</v>
      </c>
      <c r="D1736" s="1001"/>
      <c r="E1736" s="1001"/>
      <c r="F1736" s="1001"/>
      <c r="G1736" s="343" t="s">
        <v>61</v>
      </c>
      <c r="H1736" s="443"/>
      <c r="I1736" s="340"/>
      <c r="J1736" s="340"/>
      <c r="K1736" s="340">
        <v>0.03</v>
      </c>
      <c r="L1736" s="457"/>
      <c r="M1736" s="309"/>
      <c r="N1736" s="118">
        <v>2.1779999999999999</v>
      </c>
      <c r="O1736" s="119">
        <f t="shared" si="66"/>
        <v>6.5339999999999995E-2</v>
      </c>
    </row>
    <row r="1737" spans="1:19" s="129" customFormat="1">
      <c r="A1737" s="468"/>
      <c r="B1737" s="468"/>
      <c r="C1737" s="1001" t="s">
        <v>1833</v>
      </c>
      <c r="D1737" s="1001"/>
      <c r="E1737" s="1001"/>
      <c r="F1737" s="1001"/>
      <c r="G1737" s="343" t="s">
        <v>61</v>
      </c>
      <c r="H1737" s="443"/>
      <c r="I1737" s="340"/>
      <c r="J1737" s="340"/>
      <c r="K1737" s="340">
        <v>0.03</v>
      </c>
      <c r="L1737" s="457"/>
      <c r="M1737" s="309"/>
      <c r="N1737" s="118">
        <v>2.1779999999999999</v>
      </c>
      <c r="O1737" s="119">
        <f t="shared" si="66"/>
        <v>6.5339999999999995E-2</v>
      </c>
    </row>
    <row r="1738" spans="1:19" s="129" customFormat="1">
      <c r="A1738" s="468"/>
      <c r="B1738" s="727"/>
      <c r="C1738" s="1000" t="s">
        <v>1570</v>
      </c>
      <c r="D1738" s="1000"/>
      <c r="E1738" s="1000"/>
      <c r="F1738" s="1000"/>
      <c r="G1738" s="343" t="s">
        <v>61</v>
      </c>
      <c r="H1738" s="443"/>
      <c r="I1738" s="340">
        <v>1.2</v>
      </c>
      <c r="J1738" s="340"/>
      <c r="K1738" s="340">
        <v>0.03</v>
      </c>
      <c r="L1738" s="118">
        <v>18.7</v>
      </c>
      <c r="M1738" s="309"/>
      <c r="N1738" s="118">
        <v>24.684000000000001</v>
      </c>
      <c r="O1738" s="119">
        <f t="shared" si="66"/>
        <v>0.74051999999999996</v>
      </c>
      <c r="P1738" s="105"/>
      <c r="Q1738" s="105"/>
      <c r="R1738" s="105"/>
      <c r="S1738" s="105"/>
    </row>
    <row r="1739" spans="1:19" s="129" customFormat="1">
      <c r="A1739" s="468"/>
      <c r="B1739" s="727"/>
      <c r="C1739" s="1000" t="s">
        <v>1571</v>
      </c>
      <c r="D1739" s="1000"/>
      <c r="E1739" s="1000"/>
      <c r="F1739" s="1000"/>
      <c r="G1739" s="343" t="s">
        <v>61</v>
      </c>
      <c r="H1739" s="443"/>
      <c r="I1739" s="340">
        <v>4.4000000000000004</v>
      </c>
      <c r="J1739" s="340"/>
      <c r="K1739" s="340">
        <v>0.03</v>
      </c>
      <c r="L1739" s="118">
        <v>1.8</v>
      </c>
      <c r="M1739" s="309"/>
      <c r="N1739" s="118">
        <v>8.7120000000000015</v>
      </c>
      <c r="O1739" s="119">
        <f t="shared" si="66"/>
        <v>0.26136000000000004</v>
      </c>
      <c r="P1739" s="105"/>
      <c r="Q1739" s="105"/>
      <c r="R1739" s="105"/>
      <c r="S1739" s="105"/>
    </row>
    <row r="1740" spans="1:19" s="129" customFormat="1">
      <c r="A1740" s="468"/>
      <c r="B1740" s="727"/>
      <c r="C1740" s="1000" t="s">
        <v>1572</v>
      </c>
      <c r="D1740" s="1000"/>
      <c r="E1740" s="1000"/>
      <c r="F1740" s="1000"/>
      <c r="G1740" s="343" t="s">
        <v>61</v>
      </c>
      <c r="H1740" s="443"/>
      <c r="I1740" s="340">
        <v>1.2</v>
      </c>
      <c r="J1740" s="340"/>
      <c r="K1740" s="340">
        <v>0.03</v>
      </c>
      <c r="L1740" s="118">
        <v>13.5</v>
      </c>
      <c r="M1740" s="309"/>
      <c r="N1740" s="118">
        <v>17.82</v>
      </c>
      <c r="O1740" s="119">
        <f t="shared" si="66"/>
        <v>0.53459999999999996</v>
      </c>
      <c r="P1740" s="105"/>
      <c r="Q1740" s="105"/>
      <c r="R1740" s="105"/>
      <c r="S1740" s="105"/>
    </row>
    <row r="1741" spans="1:19" s="129" customFormat="1">
      <c r="A1741" s="468"/>
      <c r="B1741" s="727"/>
      <c r="C1741" s="1000" t="s">
        <v>1573</v>
      </c>
      <c r="D1741" s="1000"/>
      <c r="E1741" s="1000"/>
      <c r="F1741" s="1000"/>
      <c r="G1741" s="343" t="s">
        <v>61</v>
      </c>
      <c r="H1741" s="443"/>
      <c r="I1741" s="340">
        <v>2.4500000000000002</v>
      </c>
      <c r="J1741" s="340"/>
      <c r="K1741" s="340">
        <v>0.03</v>
      </c>
      <c r="L1741" s="118">
        <v>7</v>
      </c>
      <c r="M1741" s="309"/>
      <c r="N1741" s="118">
        <v>18.865000000000006</v>
      </c>
      <c r="O1741" s="119">
        <f t="shared" si="66"/>
        <v>0.56595000000000018</v>
      </c>
      <c r="P1741" s="105"/>
      <c r="Q1741" s="105"/>
      <c r="R1741" s="105"/>
      <c r="S1741" s="105"/>
    </row>
    <row r="1742" spans="1:19" s="129" customFormat="1">
      <c r="A1742" s="468"/>
      <c r="B1742" s="727"/>
      <c r="C1742" s="1000" t="s">
        <v>1574</v>
      </c>
      <c r="D1742" s="1000"/>
      <c r="E1742" s="1000"/>
      <c r="F1742" s="1000"/>
      <c r="G1742" s="343" t="s">
        <v>61</v>
      </c>
      <c r="H1742" s="443"/>
      <c r="I1742" s="340">
        <v>0.9</v>
      </c>
      <c r="J1742" s="340"/>
      <c r="K1742" s="340">
        <v>0.03</v>
      </c>
      <c r="L1742" s="118">
        <v>2.7</v>
      </c>
      <c r="M1742" s="309"/>
      <c r="N1742" s="118">
        <v>2.6730000000000005</v>
      </c>
      <c r="O1742" s="119">
        <f t="shared" si="66"/>
        <v>8.0190000000000011E-2</v>
      </c>
      <c r="P1742" s="105"/>
      <c r="Q1742" s="105"/>
      <c r="R1742" s="105"/>
      <c r="S1742" s="105"/>
    </row>
    <row r="1743" spans="1:19">
      <c r="A1743" s="373" t="s">
        <v>11</v>
      </c>
      <c r="B1743" s="374" t="s">
        <v>13</v>
      </c>
      <c r="C1743" s="1041"/>
      <c r="D1743" s="1042"/>
      <c r="E1743" s="1042"/>
      <c r="F1743" s="1043"/>
      <c r="G1743" s="374" t="s">
        <v>15</v>
      </c>
      <c r="H1743" s="375" t="s">
        <v>1444</v>
      </c>
      <c r="I1743" s="106" t="s">
        <v>1445</v>
      </c>
      <c r="J1743" s="106" t="s">
        <v>1446</v>
      </c>
      <c r="K1743" s="375" t="s">
        <v>1447</v>
      </c>
      <c r="L1743" s="375" t="s">
        <v>1448</v>
      </c>
      <c r="M1743" s="374" t="s">
        <v>1457</v>
      </c>
      <c r="N1743" s="375" t="s">
        <v>1450</v>
      </c>
      <c r="O1743" s="375" t="s">
        <v>1451</v>
      </c>
    </row>
    <row r="1744" spans="1:19">
      <c r="A1744" s="376"/>
      <c r="B1744" s="376" t="str">
        <f>ORÇAMENTO!C186</f>
        <v>11.02</v>
      </c>
      <c r="C1744" s="1008" t="str">
        <f>ORÇAMENTO!D186</f>
        <v>CERÂMICO INTERNO</v>
      </c>
      <c r="D1744" s="1008"/>
      <c r="E1744" s="1008"/>
      <c r="F1744" s="1008"/>
      <c r="G1744" s="1039"/>
      <c r="H1744" s="1039"/>
      <c r="I1744" s="1039"/>
      <c r="J1744" s="1039"/>
      <c r="K1744" s="1039"/>
      <c r="L1744" s="1039"/>
      <c r="M1744" s="1039"/>
      <c r="N1744" s="1039"/>
      <c r="O1744" s="1039"/>
    </row>
    <row r="1745" spans="1:19" ht="59.25" customHeight="1">
      <c r="A1745" s="377">
        <f>ORÇAMENTO!A187</f>
        <v>7767</v>
      </c>
      <c r="B1745" s="383" t="str">
        <f>ORÇAMENTO!C187</f>
        <v>11.02.01</v>
      </c>
      <c r="C1745" s="1003" t="str">
        <f>ORÇAMENTO!D187</f>
        <v>REVESTIMENTO CERÂMICO PARA PISO OU PAREDE, 60 X 60 CM, LINHA BIANCO PLUS POLIDO (PORCELANATO), COR BEGE, ELIANE OU SIMILAR, APLICADO COM ARGAMASSA INDUSTRIALIZADA AC-III, REJUNTADO COM EPOXI, EXCLUSIVE REGULARIZAÇÃO DE BASE OU EMBOÇO</v>
      </c>
      <c r="D1745" s="1003"/>
      <c r="E1745" s="1003"/>
      <c r="F1745" s="1003"/>
      <c r="G1745" s="425" t="s">
        <v>61</v>
      </c>
      <c r="H1745" s="383"/>
      <c r="I1745" s="380"/>
      <c r="J1745" s="115"/>
      <c r="K1745" s="115"/>
      <c r="L1745" s="115"/>
      <c r="M1745" s="115"/>
      <c r="N1745" s="854">
        <f>SUM(N1746:N1785)</f>
        <v>825.72324999999989</v>
      </c>
      <c r="O1745" s="857"/>
      <c r="P1745" s="850"/>
      <c r="Q1745" s="850"/>
      <c r="R1745" s="850"/>
      <c r="S1745" s="850"/>
    </row>
    <row r="1746" spans="1:19" s="127" customFormat="1">
      <c r="A1746" s="468"/>
      <c r="B1746" s="468"/>
      <c r="C1746" s="1005" t="s">
        <v>1976</v>
      </c>
      <c r="D1746" s="1104"/>
      <c r="E1746" s="1104"/>
      <c r="F1746" s="1105"/>
      <c r="G1746" s="338"/>
      <c r="H1746" s="443"/>
      <c r="I1746" s="340"/>
      <c r="J1746" s="340"/>
      <c r="K1746" s="340"/>
      <c r="L1746" s="382"/>
      <c r="M1746" s="382"/>
      <c r="N1746" s="855"/>
      <c r="O1746" s="858"/>
      <c r="P1746" s="851"/>
      <c r="Q1746" s="851"/>
      <c r="R1746" s="851"/>
      <c r="S1746" s="851"/>
    </row>
    <row r="1747" spans="1:19" s="127" customFormat="1">
      <c r="A1747" s="468"/>
      <c r="B1747" s="468"/>
      <c r="C1747" s="1001" t="s">
        <v>1836</v>
      </c>
      <c r="D1747" s="1035"/>
      <c r="E1747" s="1035"/>
      <c r="F1747" s="1036"/>
      <c r="G1747" s="343" t="s">
        <v>61</v>
      </c>
      <c r="H1747" s="443">
        <v>1.1000000000000001</v>
      </c>
      <c r="I1747" s="340"/>
      <c r="J1747" s="340"/>
      <c r="K1747" s="340"/>
      <c r="L1747" s="382"/>
      <c r="M1747" s="382"/>
      <c r="N1747" s="855">
        <v>13.84075</v>
      </c>
      <c r="O1747" s="858"/>
      <c r="P1747" s="851"/>
      <c r="Q1747" s="852">
        <f>12.5825</f>
        <v>12.5825</v>
      </c>
      <c r="R1747" s="851">
        <v>1.1000000000000001</v>
      </c>
      <c r="S1747" s="853">
        <f>Q1747*R1747</f>
        <v>13.84075</v>
      </c>
    </row>
    <row r="1748" spans="1:19" s="127" customFormat="1">
      <c r="A1748" s="468"/>
      <c r="B1748" s="468"/>
      <c r="C1748" s="1001" t="s">
        <v>1837</v>
      </c>
      <c r="D1748" s="1001"/>
      <c r="E1748" s="1001"/>
      <c r="F1748" s="1001"/>
      <c r="G1748" s="343" t="s">
        <v>61</v>
      </c>
      <c r="H1748" s="443"/>
      <c r="I1748" s="340"/>
      <c r="J1748" s="340"/>
      <c r="K1748" s="340"/>
      <c r="L1748" s="382"/>
      <c r="M1748" s="382"/>
      <c r="N1748" s="855">
        <v>14.162500000000001</v>
      </c>
      <c r="O1748" s="858"/>
      <c r="P1748" s="851"/>
      <c r="Q1748" s="852">
        <f>12.875</f>
        <v>12.875</v>
      </c>
      <c r="R1748" s="851">
        <v>1.1000000000000001</v>
      </c>
      <c r="S1748" s="853">
        <f t="shared" ref="S1748:S1785" si="67">Q1748*R1748</f>
        <v>14.162500000000001</v>
      </c>
    </row>
    <row r="1749" spans="1:19" s="127" customFormat="1">
      <c r="A1749" s="468"/>
      <c r="B1749" s="468"/>
      <c r="C1749" s="1001" t="s">
        <v>1977</v>
      </c>
      <c r="D1749" s="1001"/>
      <c r="E1749" s="1001"/>
      <c r="F1749" s="1001"/>
      <c r="G1749" s="343" t="s">
        <v>61</v>
      </c>
      <c r="H1749" s="443"/>
      <c r="I1749" s="340"/>
      <c r="J1749" s="340"/>
      <c r="K1749" s="340"/>
      <c r="L1749" s="382"/>
      <c r="M1749" s="382"/>
      <c r="N1749" s="855">
        <v>16.230500000000003</v>
      </c>
      <c r="O1749" s="858"/>
      <c r="P1749" s="851"/>
      <c r="Q1749" s="852">
        <v>14.755000000000001</v>
      </c>
      <c r="R1749" s="851">
        <v>1.1000000000000001</v>
      </c>
      <c r="S1749" s="853">
        <f t="shared" si="67"/>
        <v>16.230500000000003</v>
      </c>
    </row>
    <row r="1750" spans="1:19" s="127" customFormat="1">
      <c r="A1750" s="468"/>
      <c r="B1750" s="468"/>
      <c r="C1750" s="1001" t="s">
        <v>1978</v>
      </c>
      <c r="D1750" s="1001"/>
      <c r="E1750" s="1001"/>
      <c r="F1750" s="1001"/>
      <c r="G1750" s="343" t="s">
        <v>61</v>
      </c>
      <c r="H1750" s="443"/>
      <c r="I1750" s="340"/>
      <c r="J1750" s="340"/>
      <c r="K1750" s="340"/>
      <c r="L1750" s="382"/>
      <c r="M1750" s="382"/>
      <c r="N1750" s="855">
        <v>2.2440000000000002</v>
      </c>
      <c r="O1750" s="858"/>
      <c r="P1750" s="851"/>
      <c r="Q1750" s="852">
        <v>2.04</v>
      </c>
      <c r="R1750" s="851">
        <v>1.1000000000000001</v>
      </c>
      <c r="S1750" s="853">
        <f t="shared" si="67"/>
        <v>2.2440000000000002</v>
      </c>
    </row>
    <row r="1751" spans="1:19" s="127" customFormat="1">
      <c r="A1751" s="468"/>
      <c r="B1751" s="468"/>
      <c r="C1751" s="1001" t="s">
        <v>1839</v>
      </c>
      <c r="D1751" s="1001"/>
      <c r="E1751" s="1001"/>
      <c r="F1751" s="1001"/>
      <c r="G1751" s="343" t="s">
        <v>61</v>
      </c>
      <c r="H1751" s="443"/>
      <c r="I1751" s="340"/>
      <c r="J1751" s="340"/>
      <c r="K1751" s="340"/>
      <c r="L1751" s="382"/>
      <c r="M1751" s="382"/>
      <c r="N1751" s="855">
        <v>16.230500000000003</v>
      </c>
      <c r="O1751" s="858"/>
      <c r="P1751" s="851"/>
      <c r="Q1751" s="852">
        <v>14.755000000000001</v>
      </c>
      <c r="R1751" s="851">
        <v>1.1000000000000001</v>
      </c>
      <c r="S1751" s="853">
        <f t="shared" si="67"/>
        <v>16.230500000000003</v>
      </c>
    </row>
    <row r="1752" spans="1:19" s="127" customFormat="1">
      <c r="A1752" s="468"/>
      <c r="B1752" s="468"/>
      <c r="C1752" s="1001" t="s">
        <v>1840</v>
      </c>
      <c r="D1752" s="1001"/>
      <c r="E1752" s="1001"/>
      <c r="F1752" s="1001"/>
      <c r="G1752" s="343" t="s">
        <v>61</v>
      </c>
      <c r="H1752" s="443"/>
      <c r="I1752" s="340"/>
      <c r="J1752" s="340"/>
      <c r="K1752" s="340"/>
      <c r="L1752" s="382"/>
      <c r="M1752" s="382"/>
      <c r="N1752" s="855">
        <v>2.2440000000000002</v>
      </c>
      <c r="O1752" s="858"/>
      <c r="P1752" s="851"/>
      <c r="Q1752" s="852">
        <v>2.04</v>
      </c>
      <c r="R1752" s="851">
        <v>1.1000000000000001</v>
      </c>
      <c r="S1752" s="853">
        <f t="shared" si="67"/>
        <v>2.2440000000000002</v>
      </c>
    </row>
    <row r="1753" spans="1:19" s="127" customFormat="1">
      <c r="A1753" s="468"/>
      <c r="B1753" s="468"/>
      <c r="C1753" s="1001" t="s">
        <v>1841</v>
      </c>
      <c r="D1753" s="1001"/>
      <c r="E1753" s="1001"/>
      <c r="F1753" s="1001"/>
      <c r="G1753" s="343" t="s">
        <v>61</v>
      </c>
      <c r="H1753" s="443"/>
      <c r="I1753" s="340"/>
      <c r="J1753" s="340"/>
      <c r="K1753" s="340"/>
      <c r="L1753" s="382"/>
      <c r="M1753" s="382"/>
      <c r="N1753" s="855">
        <v>173.66800000000001</v>
      </c>
      <c r="O1753" s="858"/>
      <c r="P1753" s="851"/>
      <c r="Q1753" s="852">
        <v>157.88</v>
      </c>
      <c r="R1753" s="851">
        <v>1.1000000000000001</v>
      </c>
      <c r="S1753" s="853">
        <f t="shared" si="67"/>
        <v>173.66800000000001</v>
      </c>
    </row>
    <row r="1754" spans="1:19" s="127" customFormat="1">
      <c r="A1754" s="468"/>
      <c r="B1754" s="468"/>
      <c r="C1754" s="1001" t="s">
        <v>1825</v>
      </c>
      <c r="D1754" s="1001"/>
      <c r="E1754" s="1001"/>
      <c r="F1754" s="1001"/>
      <c r="G1754" s="343" t="s">
        <v>61</v>
      </c>
      <c r="H1754" s="443"/>
      <c r="I1754" s="340"/>
      <c r="J1754" s="340"/>
      <c r="K1754" s="340"/>
      <c r="L1754" s="382"/>
      <c r="M1754" s="382"/>
      <c r="N1754" s="855">
        <v>25.838999999999999</v>
      </c>
      <c r="O1754" s="858"/>
      <c r="P1754" s="851"/>
      <c r="Q1754" s="852">
        <v>23.49</v>
      </c>
      <c r="R1754" s="851">
        <v>1.1000000000000001</v>
      </c>
      <c r="S1754" s="853">
        <f t="shared" si="67"/>
        <v>25.838999999999999</v>
      </c>
    </row>
    <row r="1755" spans="1:19" s="127" customFormat="1">
      <c r="A1755" s="468"/>
      <c r="B1755" s="468"/>
      <c r="C1755" s="1001" t="s">
        <v>1824</v>
      </c>
      <c r="D1755" s="1001"/>
      <c r="E1755" s="1001"/>
      <c r="F1755" s="1001"/>
      <c r="G1755" s="343" t="s">
        <v>61</v>
      </c>
      <c r="H1755" s="443"/>
      <c r="I1755" s="340"/>
      <c r="J1755" s="340"/>
      <c r="K1755" s="340"/>
      <c r="L1755" s="382"/>
      <c r="M1755" s="382"/>
      <c r="N1755" s="855">
        <v>20.460000000000004</v>
      </c>
      <c r="O1755" s="858"/>
      <c r="P1755" s="851"/>
      <c r="Q1755" s="852">
        <v>18.600000000000001</v>
      </c>
      <c r="R1755" s="851">
        <v>1.1000000000000001</v>
      </c>
      <c r="S1755" s="853">
        <f t="shared" si="67"/>
        <v>20.460000000000004</v>
      </c>
    </row>
    <row r="1756" spans="1:19" s="127" customFormat="1">
      <c r="A1756" s="468"/>
      <c r="B1756" s="468"/>
      <c r="C1756" s="1001" t="s">
        <v>1830</v>
      </c>
      <c r="D1756" s="1001"/>
      <c r="E1756" s="1001"/>
      <c r="F1756" s="1001"/>
      <c r="G1756" s="343" t="s">
        <v>61</v>
      </c>
      <c r="H1756" s="443"/>
      <c r="I1756" s="340"/>
      <c r="J1756" s="340"/>
      <c r="K1756" s="340"/>
      <c r="L1756" s="382"/>
      <c r="M1756" s="382"/>
      <c r="N1756" s="855">
        <v>11.990000000000002</v>
      </c>
      <c r="O1756" s="858"/>
      <c r="P1756" s="851"/>
      <c r="Q1756" s="852">
        <v>10.9</v>
      </c>
      <c r="R1756" s="851">
        <v>1.1000000000000001</v>
      </c>
      <c r="S1756" s="853">
        <f t="shared" si="67"/>
        <v>11.990000000000002</v>
      </c>
    </row>
    <row r="1757" spans="1:19" s="127" customFormat="1">
      <c r="A1757" s="468"/>
      <c r="B1757" s="468"/>
      <c r="C1757" s="1001" t="s">
        <v>1822</v>
      </c>
      <c r="D1757" s="1001"/>
      <c r="E1757" s="1001"/>
      <c r="F1757" s="1001"/>
      <c r="G1757" s="343" t="s">
        <v>61</v>
      </c>
      <c r="H1757" s="443"/>
      <c r="I1757" s="340"/>
      <c r="J1757" s="340"/>
      <c r="K1757" s="340"/>
      <c r="L1757" s="382"/>
      <c r="M1757" s="382"/>
      <c r="N1757" s="855">
        <v>26.015000000000001</v>
      </c>
      <c r="O1757" s="858"/>
      <c r="P1757" s="851"/>
      <c r="Q1757" s="852">
        <v>23.65</v>
      </c>
      <c r="R1757" s="851">
        <v>1.1000000000000001</v>
      </c>
      <c r="S1757" s="853">
        <f t="shared" si="67"/>
        <v>26.015000000000001</v>
      </c>
    </row>
    <row r="1758" spans="1:19" s="127" customFormat="1">
      <c r="A1758" s="468"/>
      <c r="B1758" s="468"/>
      <c r="C1758" s="1001" t="s">
        <v>1823</v>
      </c>
      <c r="D1758" s="1001"/>
      <c r="E1758" s="1001"/>
      <c r="F1758" s="1001"/>
      <c r="G1758" s="343" t="s">
        <v>61</v>
      </c>
      <c r="H1758" s="443"/>
      <c r="I1758" s="340"/>
      <c r="J1758" s="340"/>
      <c r="K1758" s="340"/>
      <c r="L1758" s="382"/>
      <c r="M1758" s="382"/>
      <c r="N1758" s="855">
        <v>2.7170000000000005</v>
      </c>
      <c r="O1758" s="858"/>
      <c r="P1758" s="851"/>
      <c r="Q1758" s="852">
        <v>2.4700000000000002</v>
      </c>
      <c r="R1758" s="851">
        <v>1.1000000000000001</v>
      </c>
      <c r="S1758" s="853">
        <f t="shared" si="67"/>
        <v>2.7170000000000005</v>
      </c>
    </row>
    <row r="1759" spans="1:19" s="127" customFormat="1">
      <c r="A1759" s="468"/>
      <c r="B1759" s="468"/>
      <c r="C1759" s="1001" t="s">
        <v>1842</v>
      </c>
      <c r="D1759" s="1001"/>
      <c r="E1759" s="1001"/>
      <c r="F1759" s="1001"/>
      <c r="G1759" s="343" t="s">
        <v>61</v>
      </c>
      <c r="H1759" s="443"/>
      <c r="I1759" s="340"/>
      <c r="J1759" s="340"/>
      <c r="K1759" s="340"/>
      <c r="L1759" s="459"/>
      <c r="M1759" s="459"/>
      <c r="N1759" s="855">
        <v>44.704000000000008</v>
      </c>
      <c r="O1759" s="858"/>
      <c r="P1759" s="851"/>
      <c r="Q1759" s="852">
        <v>40.64</v>
      </c>
      <c r="R1759" s="851">
        <v>1.1000000000000001</v>
      </c>
      <c r="S1759" s="853">
        <f t="shared" si="67"/>
        <v>44.704000000000008</v>
      </c>
    </row>
    <row r="1760" spans="1:19" s="127" customFormat="1">
      <c r="A1760" s="468"/>
      <c r="B1760" s="468"/>
      <c r="C1760" s="1001" t="s">
        <v>1843</v>
      </c>
      <c r="D1760" s="1001"/>
      <c r="E1760" s="1001"/>
      <c r="F1760" s="1001"/>
      <c r="G1760" s="343" t="s">
        <v>61</v>
      </c>
      <c r="H1760" s="443"/>
      <c r="I1760" s="340"/>
      <c r="J1760" s="340"/>
      <c r="K1760" s="340"/>
      <c r="L1760" s="459"/>
      <c r="M1760" s="459"/>
      <c r="N1760" s="855">
        <v>5.8849999999999998</v>
      </c>
      <c r="O1760" s="858"/>
      <c r="P1760" s="851"/>
      <c r="Q1760" s="852">
        <v>5.35</v>
      </c>
      <c r="R1760" s="851">
        <v>1.1000000000000001</v>
      </c>
      <c r="S1760" s="853">
        <f t="shared" si="67"/>
        <v>5.8849999999999998</v>
      </c>
    </row>
    <row r="1761" spans="1:19" s="127" customFormat="1">
      <c r="A1761" s="468"/>
      <c r="B1761" s="468"/>
      <c r="C1761" s="1001" t="s">
        <v>1814</v>
      </c>
      <c r="D1761" s="1001"/>
      <c r="E1761" s="1001"/>
      <c r="F1761" s="1001"/>
      <c r="G1761" s="343" t="s">
        <v>61</v>
      </c>
      <c r="H1761" s="443"/>
      <c r="I1761" s="340"/>
      <c r="J1761" s="340"/>
      <c r="K1761" s="340"/>
      <c r="L1761" s="459"/>
      <c r="M1761" s="459"/>
      <c r="N1761" s="855">
        <v>8.8000000000000007</v>
      </c>
      <c r="O1761" s="858"/>
      <c r="P1761" s="851"/>
      <c r="Q1761" s="852">
        <v>8</v>
      </c>
      <c r="R1761" s="851">
        <v>1.1000000000000001</v>
      </c>
      <c r="S1761" s="853">
        <f t="shared" si="67"/>
        <v>8.8000000000000007</v>
      </c>
    </row>
    <row r="1762" spans="1:19" s="127" customFormat="1">
      <c r="A1762" s="468"/>
      <c r="B1762" s="468"/>
      <c r="C1762" s="1001" t="s">
        <v>1815</v>
      </c>
      <c r="D1762" s="1001"/>
      <c r="E1762" s="1001"/>
      <c r="F1762" s="1001"/>
      <c r="G1762" s="343" t="s">
        <v>61</v>
      </c>
      <c r="H1762" s="443"/>
      <c r="I1762" s="340"/>
      <c r="J1762" s="340"/>
      <c r="K1762" s="340"/>
      <c r="L1762" s="459"/>
      <c r="M1762" s="459"/>
      <c r="N1762" s="855">
        <v>12.672000000000001</v>
      </c>
      <c r="O1762" s="858"/>
      <c r="P1762" s="851"/>
      <c r="Q1762" s="852">
        <v>11.52</v>
      </c>
      <c r="R1762" s="851">
        <v>1.1000000000000001</v>
      </c>
      <c r="S1762" s="853">
        <f t="shared" si="67"/>
        <v>12.672000000000001</v>
      </c>
    </row>
    <row r="1763" spans="1:19" s="127" customFormat="1">
      <c r="A1763" s="468"/>
      <c r="B1763" s="468"/>
      <c r="C1763" s="1001" t="s">
        <v>1816</v>
      </c>
      <c r="D1763" s="1001"/>
      <c r="E1763" s="1001"/>
      <c r="F1763" s="1001"/>
      <c r="G1763" s="343" t="s">
        <v>61</v>
      </c>
      <c r="H1763" s="443"/>
      <c r="I1763" s="340"/>
      <c r="J1763" s="340"/>
      <c r="K1763" s="340"/>
      <c r="L1763" s="459"/>
      <c r="M1763" s="123"/>
      <c r="N1763" s="855">
        <v>7.1610000000000005</v>
      </c>
      <c r="O1763" s="858"/>
      <c r="P1763" s="851"/>
      <c r="Q1763" s="852">
        <v>6.51</v>
      </c>
      <c r="R1763" s="851">
        <v>1.1000000000000001</v>
      </c>
      <c r="S1763" s="853">
        <f t="shared" si="67"/>
        <v>7.1610000000000005</v>
      </c>
    </row>
    <row r="1764" spans="1:19" s="127" customFormat="1" ht="14.25" customHeight="1">
      <c r="A1764" s="468"/>
      <c r="B1764" s="468"/>
      <c r="C1764" s="1001" t="s">
        <v>1817</v>
      </c>
      <c r="D1764" s="1001"/>
      <c r="E1764" s="1001"/>
      <c r="F1764" s="1001"/>
      <c r="G1764" s="343" t="s">
        <v>61</v>
      </c>
      <c r="H1764" s="443"/>
      <c r="I1764" s="340"/>
      <c r="J1764" s="340"/>
      <c r="K1764" s="340"/>
      <c r="L1764" s="459"/>
      <c r="M1764" s="123"/>
      <c r="N1764" s="855">
        <v>7.1610000000000005</v>
      </c>
      <c r="O1764" s="858"/>
      <c r="P1764" s="851"/>
      <c r="Q1764" s="852">
        <v>6.51</v>
      </c>
      <c r="R1764" s="851">
        <v>1.1000000000000001</v>
      </c>
      <c r="S1764" s="853">
        <f t="shared" si="67"/>
        <v>7.1610000000000005</v>
      </c>
    </row>
    <row r="1765" spans="1:19" s="127" customFormat="1">
      <c r="A1765" s="468"/>
      <c r="B1765" s="468"/>
      <c r="C1765" s="1001" t="s">
        <v>1818</v>
      </c>
      <c r="D1765" s="1001"/>
      <c r="E1765" s="1001"/>
      <c r="F1765" s="1001"/>
      <c r="G1765" s="343" t="s">
        <v>61</v>
      </c>
      <c r="H1765" s="443"/>
      <c r="I1765" s="340"/>
      <c r="J1765" s="340"/>
      <c r="K1765" s="340"/>
      <c r="L1765" s="459"/>
      <c r="M1765" s="123"/>
      <c r="N1765" s="855">
        <v>2.5299999999999998</v>
      </c>
      <c r="O1765" s="858"/>
      <c r="P1765" s="851"/>
      <c r="Q1765" s="852">
        <v>2.2999999999999998</v>
      </c>
      <c r="R1765" s="851">
        <v>1.1000000000000001</v>
      </c>
      <c r="S1765" s="853">
        <f t="shared" si="67"/>
        <v>2.5299999999999998</v>
      </c>
    </row>
    <row r="1766" spans="1:19" s="127" customFormat="1">
      <c r="A1766" s="468"/>
      <c r="B1766" s="468"/>
      <c r="C1766" s="1001" t="s">
        <v>1819</v>
      </c>
      <c r="D1766" s="1001"/>
      <c r="E1766" s="1001"/>
      <c r="F1766" s="1001"/>
      <c r="G1766" s="343" t="s">
        <v>61</v>
      </c>
      <c r="H1766" s="443"/>
      <c r="I1766" s="340"/>
      <c r="J1766" s="340"/>
      <c r="K1766" s="340"/>
      <c r="L1766" s="459"/>
      <c r="M1766" s="123"/>
      <c r="N1766" s="855">
        <v>3.63</v>
      </c>
      <c r="O1766" s="858"/>
      <c r="P1766" s="851"/>
      <c r="Q1766" s="852">
        <v>3.3</v>
      </c>
      <c r="R1766" s="851">
        <v>1.1000000000000001</v>
      </c>
      <c r="S1766" s="853">
        <f t="shared" si="67"/>
        <v>3.63</v>
      </c>
    </row>
    <row r="1767" spans="1:19" s="127" customFormat="1">
      <c r="A1767" s="468"/>
      <c r="B1767" s="468"/>
      <c r="C1767" s="1001" t="s">
        <v>1820</v>
      </c>
      <c r="D1767" s="1001"/>
      <c r="E1767" s="1001"/>
      <c r="F1767" s="1001"/>
      <c r="G1767" s="343" t="s">
        <v>61</v>
      </c>
      <c r="H1767" s="443"/>
      <c r="I1767" s="340"/>
      <c r="J1767" s="340"/>
      <c r="K1767" s="340"/>
      <c r="L1767" s="459"/>
      <c r="M1767" s="123"/>
      <c r="N1767" s="855">
        <v>18.579000000000001</v>
      </c>
      <c r="O1767" s="858"/>
      <c r="P1767" s="851"/>
      <c r="Q1767" s="852">
        <v>16.89</v>
      </c>
      <c r="R1767" s="851">
        <v>1.1000000000000001</v>
      </c>
      <c r="S1767" s="853">
        <f t="shared" si="67"/>
        <v>18.579000000000001</v>
      </c>
    </row>
    <row r="1768" spans="1:19" s="127" customFormat="1">
      <c r="A1768" s="468"/>
      <c r="B1768" s="468"/>
      <c r="C1768" s="1001" t="s">
        <v>1821</v>
      </c>
      <c r="D1768" s="1001"/>
      <c r="E1768" s="1001"/>
      <c r="F1768" s="1001"/>
      <c r="G1768" s="343" t="s">
        <v>61</v>
      </c>
      <c r="H1768" s="443"/>
      <c r="I1768" s="340"/>
      <c r="J1768" s="340"/>
      <c r="K1768" s="340"/>
      <c r="L1768" s="459"/>
      <c r="M1768" s="123"/>
      <c r="N1768" s="855">
        <v>12.496</v>
      </c>
      <c r="O1768" s="858"/>
      <c r="P1768" s="851"/>
      <c r="Q1768" s="852">
        <v>11.36</v>
      </c>
      <c r="R1768" s="851">
        <v>1.1000000000000001</v>
      </c>
      <c r="S1768" s="853">
        <f t="shared" si="67"/>
        <v>12.496</v>
      </c>
    </row>
    <row r="1769" spans="1:19" s="127" customFormat="1">
      <c r="A1769" s="468"/>
      <c r="B1769" s="468"/>
      <c r="C1769" s="1001" t="s">
        <v>1822</v>
      </c>
      <c r="D1769" s="1001"/>
      <c r="E1769" s="1001"/>
      <c r="F1769" s="1001"/>
      <c r="G1769" s="343" t="s">
        <v>61</v>
      </c>
      <c r="H1769" s="443"/>
      <c r="I1769" s="340"/>
      <c r="J1769" s="340"/>
      <c r="K1769" s="340"/>
      <c r="L1769" s="459"/>
      <c r="M1769" s="123"/>
      <c r="N1769" s="855">
        <v>26.015000000000001</v>
      </c>
      <c r="O1769" s="858"/>
      <c r="P1769" s="851"/>
      <c r="Q1769" s="852">
        <v>23.65</v>
      </c>
      <c r="R1769" s="851">
        <v>1.1000000000000001</v>
      </c>
      <c r="S1769" s="853">
        <f t="shared" si="67"/>
        <v>26.015000000000001</v>
      </c>
    </row>
    <row r="1770" spans="1:19" s="127" customFormat="1">
      <c r="A1770" s="468"/>
      <c r="B1770" s="468"/>
      <c r="C1770" s="1001" t="s">
        <v>1979</v>
      </c>
      <c r="D1770" s="1001"/>
      <c r="E1770" s="1001"/>
      <c r="F1770" s="1001"/>
      <c r="G1770" s="343" t="s">
        <v>61</v>
      </c>
      <c r="H1770" s="443"/>
      <c r="I1770" s="340"/>
      <c r="J1770" s="340"/>
      <c r="K1770" s="340"/>
      <c r="L1770" s="459"/>
      <c r="M1770" s="309"/>
      <c r="N1770" s="855">
        <v>2.7170000000000005</v>
      </c>
      <c r="O1770" s="858"/>
      <c r="P1770" s="851"/>
      <c r="Q1770" s="852">
        <v>2.4700000000000002</v>
      </c>
      <c r="R1770" s="851">
        <v>1.1000000000000001</v>
      </c>
      <c r="S1770" s="853">
        <f t="shared" si="67"/>
        <v>2.7170000000000005</v>
      </c>
    </row>
    <row r="1771" spans="1:19" s="127" customFormat="1">
      <c r="A1771" s="468"/>
      <c r="B1771" s="468"/>
      <c r="C1771" s="1001" t="s">
        <v>1842</v>
      </c>
      <c r="D1771" s="1001"/>
      <c r="E1771" s="1001"/>
      <c r="F1771" s="1001"/>
      <c r="G1771" s="343" t="s">
        <v>61</v>
      </c>
      <c r="H1771" s="443"/>
      <c r="I1771" s="340"/>
      <c r="J1771" s="340"/>
      <c r="K1771" s="340"/>
      <c r="L1771" s="459"/>
      <c r="M1771" s="587"/>
      <c r="N1771" s="855">
        <v>44.704000000000008</v>
      </c>
      <c r="O1771" s="858"/>
      <c r="P1771" s="851"/>
      <c r="Q1771" s="852">
        <v>40.64</v>
      </c>
      <c r="R1771" s="851">
        <v>1.1000000000000001</v>
      </c>
      <c r="S1771" s="853">
        <f t="shared" si="67"/>
        <v>44.704000000000008</v>
      </c>
    </row>
    <row r="1772" spans="1:19" s="127" customFormat="1">
      <c r="A1772" s="468"/>
      <c r="B1772" s="468"/>
      <c r="C1772" s="1001" t="s">
        <v>1843</v>
      </c>
      <c r="D1772" s="1001"/>
      <c r="E1772" s="1001"/>
      <c r="F1772" s="1001"/>
      <c r="G1772" s="343" t="s">
        <v>61</v>
      </c>
      <c r="H1772" s="443"/>
      <c r="I1772" s="340"/>
      <c r="J1772" s="340"/>
      <c r="K1772" s="340"/>
      <c r="L1772" s="459"/>
      <c r="M1772" s="587"/>
      <c r="N1772" s="855">
        <v>5.8849999999999998</v>
      </c>
      <c r="O1772" s="858"/>
      <c r="P1772" s="851"/>
      <c r="Q1772" s="852">
        <v>5.35</v>
      </c>
      <c r="R1772" s="851">
        <v>1.1000000000000001</v>
      </c>
      <c r="S1772" s="853">
        <f t="shared" si="67"/>
        <v>5.8849999999999998</v>
      </c>
    </row>
    <row r="1773" spans="1:19" s="127" customFormat="1">
      <c r="A1773" s="468"/>
      <c r="B1773" s="468"/>
      <c r="C1773" s="1001" t="s">
        <v>1830</v>
      </c>
      <c r="D1773" s="1001"/>
      <c r="E1773" s="1001"/>
      <c r="F1773" s="1001"/>
      <c r="G1773" s="343" t="s">
        <v>61</v>
      </c>
      <c r="H1773" s="443"/>
      <c r="I1773" s="340"/>
      <c r="J1773" s="340"/>
      <c r="K1773" s="340"/>
      <c r="L1773" s="457"/>
      <c r="M1773" s="587"/>
      <c r="N1773" s="855">
        <v>11.990000000000002</v>
      </c>
      <c r="O1773" s="858"/>
      <c r="P1773" s="851"/>
      <c r="Q1773" s="852">
        <v>10.9</v>
      </c>
      <c r="R1773" s="851">
        <v>1.1000000000000001</v>
      </c>
      <c r="S1773" s="853">
        <f t="shared" si="67"/>
        <v>11.990000000000002</v>
      </c>
    </row>
    <row r="1774" spans="1:19" s="127" customFormat="1">
      <c r="A1774" s="468"/>
      <c r="B1774" s="468"/>
      <c r="C1774" s="1001" t="s">
        <v>1824</v>
      </c>
      <c r="D1774" s="1001"/>
      <c r="E1774" s="1001"/>
      <c r="F1774" s="1001"/>
      <c r="G1774" s="343" t="s">
        <v>61</v>
      </c>
      <c r="H1774" s="443"/>
      <c r="I1774" s="340"/>
      <c r="J1774" s="340"/>
      <c r="K1774" s="340"/>
      <c r="L1774" s="457"/>
      <c r="M1774" s="587"/>
      <c r="N1774" s="855">
        <v>20.460000000000004</v>
      </c>
      <c r="O1774" s="858"/>
      <c r="P1774" s="851"/>
      <c r="Q1774" s="852">
        <v>18.600000000000001</v>
      </c>
      <c r="R1774" s="851">
        <v>1.1000000000000001</v>
      </c>
      <c r="S1774" s="853">
        <f t="shared" si="67"/>
        <v>20.460000000000004</v>
      </c>
    </row>
    <row r="1775" spans="1:19" s="127" customFormat="1">
      <c r="A1775" s="468"/>
      <c r="B1775" s="468"/>
      <c r="C1775" s="1001" t="s">
        <v>1855</v>
      </c>
      <c r="D1775" s="1001"/>
      <c r="E1775" s="1001"/>
      <c r="F1775" s="1001"/>
      <c r="G1775" s="343" t="s">
        <v>61</v>
      </c>
      <c r="H1775" s="443"/>
      <c r="I1775" s="340"/>
      <c r="J1775" s="340"/>
      <c r="K1775" s="340"/>
      <c r="L1775" s="457"/>
      <c r="M1775" s="587"/>
      <c r="N1775" s="855">
        <v>34.452000000000005</v>
      </c>
      <c r="O1775" s="858"/>
      <c r="P1775" s="851"/>
      <c r="Q1775" s="852">
        <v>31.32</v>
      </c>
      <c r="R1775" s="851">
        <v>1.1000000000000001</v>
      </c>
      <c r="S1775" s="853">
        <f t="shared" si="67"/>
        <v>34.452000000000005</v>
      </c>
    </row>
    <row r="1776" spans="1:19" s="127" customFormat="1">
      <c r="A1776" s="468"/>
      <c r="B1776" s="468"/>
      <c r="C1776" s="1001" t="s">
        <v>1826</v>
      </c>
      <c r="D1776" s="1001"/>
      <c r="E1776" s="1001"/>
      <c r="F1776" s="1001"/>
      <c r="G1776" s="343" t="s">
        <v>61</v>
      </c>
      <c r="H1776" s="443"/>
      <c r="I1776" s="340"/>
      <c r="J1776" s="340"/>
      <c r="K1776" s="340"/>
      <c r="L1776" s="459"/>
      <c r="M1776" s="309"/>
      <c r="N1776" s="855">
        <v>5.6980000000000004</v>
      </c>
      <c r="O1776" s="858"/>
      <c r="P1776" s="851"/>
      <c r="Q1776" s="852">
        <v>5.18</v>
      </c>
      <c r="R1776" s="851">
        <v>1.1000000000000001</v>
      </c>
      <c r="S1776" s="853">
        <f t="shared" si="67"/>
        <v>5.6980000000000004</v>
      </c>
    </row>
    <row r="1777" spans="1:19" s="127" customFormat="1">
      <c r="A1777" s="468"/>
      <c r="B1777" s="468"/>
      <c r="C1777" s="1001" t="s">
        <v>1980</v>
      </c>
      <c r="D1777" s="1001"/>
      <c r="E1777" s="1001"/>
      <c r="F1777" s="1001"/>
      <c r="G1777" s="343" t="s">
        <v>61</v>
      </c>
      <c r="H1777" s="443"/>
      <c r="I1777" s="340"/>
      <c r="J1777" s="340"/>
      <c r="K1777" s="340"/>
      <c r="L1777" s="459"/>
      <c r="M1777" s="309"/>
      <c r="N1777" s="855">
        <v>5.1920000000000002</v>
      </c>
      <c r="O1777" s="858"/>
      <c r="P1777" s="851"/>
      <c r="Q1777" s="852">
        <v>4.72</v>
      </c>
      <c r="R1777" s="851">
        <v>1.1000000000000001</v>
      </c>
      <c r="S1777" s="853">
        <f t="shared" si="67"/>
        <v>5.1920000000000002</v>
      </c>
    </row>
    <row r="1778" spans="1:19" s="127" customFormat="1">
      <c r="A1778" s="468"/>
      <c r="B1778" s="468"/>
      <c r="C1778" s="1001" t="s">
        <v>1981</v>
      </c>
      <c r="D1778" s="1001"/>
      <c r="E1778" s="1001"/>
      <c r="F1778" s="1001"/>
      <c r="G1778" s="343" t="s">
        <v>61</v>
      </c>
      <c r="H1778" s="443"/>
      <c r="I1778" s="340"/>
      <c r="J1778" s="340"/>
      <c r="K1778" s="340"/>
      <c r="L1778" s="459"/>
      <c r="M1778" s="309"/>
      <c r="N1778" s="855">
        <v>5.1920000000000002</v>
      </c>
      <c r="O1778" s="858"/>
      <c r="P1778" s="851"/>
      <c r="Q1778" s="852">
        <v>4.72</v>
      </c>
      <c r="R1778" s="851">
        <v>1.1000000000000001</v>
      </c>
      <c r="S1778" s="853">
        <f t="shared" si="67"/>
        <v>5.1920000000000002</v>
      </c>
    </row>
    <row r="1779" spans="1:19" s="127" customFormat="1">
      <c r="A1779" s="468"/>
      <c r="B1779" s="468"/>
      <c r="C1779" s="1001" t="s">
        <v>1830</v>
      </c>
      <c r="D1779" s="1001"/>
      <c r="E1779" s="1001"/>
      <c r="F1779" s="1001"/>
      <c r="G1779" s="343" t="s">
        <v>61</v>
      </c>
      <c r="H1779" s="443"/>
      <c r="I1779" s="340"/>
      <c r="J1779" s="340"/>
      <c r="K1779" s="340"/>
      <c r="L1779" s="459"/>
      <c r="M1779" s="309"/>
      <c r="N1779" s="855">
        <v>12.870000000000003</v>
      </c>
      <c r="O1779" s="858"/>
      <c r="P1779" s="851"/>
      <c r="Q1779" s="852">
        <f>3.24+8.46</f>
        <v>11.700000000000001</v>
      </c>
      <c r="R1779" s="851">
        <v>1.1000000000000001</v>
      </c>
      <c r="S1779" s="853">
        <f t="shared" si="67"/>
        <v>12.870000000000003</v>
      </c>
    </row>
    <row r="1780" spans="1:19" s="127" customFormat="1">
      <c r="A1780" s="468"/>
      <c r="B1780" s="468"/>
      <c r="C1780" s="1001" t="s">
        <v>1831</v>
      </c>
      <c r="D1780" s="1001"/>
      <c r="E1780" s="1001"/>
      <c r="F1780" s="1001"/>
      <c r="G1780" s="343" t="s">
        <v>61</v>
      </c>
      <c r="H1780" s="443"/>
      <c r="I1780" s="340"/>
      <c r="J1780" s="340"/>
      <c r="K1780" s="340"/>
      <c r="L1780" s="459"/>
      <c r="M1780" s="309"/>
      <c r="N1780" s="855">
        <v>148.5</v>
      </c>
      <c r="O1780" s="858"/>
      <c r="P1780" s="851"/>
      <c r="Q1780" s="852">
        <v>135</v>
      </c>
      <c r="R1780" s="851">
        <v>1.1000000000000001</v>
      </c>
      <c r="S1780" s="853">
        <f t="shared" si="67"/>
        <v>148.5</v>
      </c>
    </row>
    <row r="1781" spans="1:19" s="127" customFormat="1">
      <c r="A1781" s="468"/>
      <c r="B1781" s="468"/>
      <c r="C1781" s="1001" t="s">
        <v>1982</v>
      </c>
      <c r="D1781" s="1001"/>
      <c r="E1781" s="1001"/>
      <c r="F1781" s="1001"/>
      <c r="G1781" s="343" t="s">
        <v>61</v>
      </c>
      <c r="H1781" s="340"/>
      <c r="I1781" s="340"/>
      <c r="J1781" s="119"/>
      <c r="K1781" s="119"/>
      <c r="L1781" s="119"/>
      <c r="M1781" s="587"/>
      <c r="N1781" s="855">
        <v>41.305</v>
      </c>
      <c r="O1781" s="858"/>
      <c r="P1781" s="851"/>
      <c r="Q1781" s="852">
        <v>37.549999999999997</v>
      </c>
      <c r="R1781" s="851">
        <v>1.1000000000000001</v>
      </c>
      <c r="S1781" s="853">
        <f t="shared" si="67"/>
        <v>41.305</v>
      </c>
    </row>
    <row r="1782" spans="1:19" s="127" customFormat="1">
      <c r="A1782" s="468"/>
      <c r="B1782" s="468"/>
      <c r="C1782" s="1001" t="s">
        <v>1983</v>
      </c>
      <c r="D1782" s="1001"/>
      <c r="E1782" s="1001"/>
      <c r="F1782" s="1001"/>
      <c r="G1782" s="343" t="s">
        <v>61</v>
      </c>
      <c r="H1782" s="443"/>
      <c r="I1782" s="340"/>
      <c r="J1782" s="458"/>
      <c r="K1782" s="458"/>
      <c r="L1782" s="458"/>
      <c r="M1782" s="309"/>
      <c r="N1782" s="855">
        <v>3.5640000000000005</v>
      </c>
      <c r="O1782" s="858"/>
      <c r="P1782" s="851"/>
      <c r="Q1782" s="852">
        <v>3.24</v>
      </c>
      <c r="R1782" s="851">
        <v>1.1000000000000001</v>
      </c>
      <c r="S1782" s="853">
        <f t="shared" si="67"/>
        <v>3.5640000000000005</v>
      </c>
    </row>
    <row r="1783" spans="1:19" s="127" customFormat="1">
      <c r="A1783" s="468"/>
      <c r="B1783" s="468"/>
      <c r="C1783" s="1001" t="s">
        <v>1984</v>
      </c>
      <c r="D1783" s="1001"/>
      <c r="E1783" s="1001"/>
      <c r="F1783" s="1001"/>
      <c r="G1783" s="343" t="s">
        <v>61</v>
      </c>
      <c r="H1783" s="443"/>
      <c r="I1783" s="340"/>
      <c r="J1783" s="340"/>
      <c r="K1783" s="458"/>
      <c r="L1783" s="457"/>
      <c r="M1783" s="309"/>
      <c r="N1783" s="855">
        <v>3.5640000000000005</v>
      </c>
      <c r="O1783" s="858"/>
      <c r="P1783" s="851"/>
      <c r="Q1783" s="852">
        <v>3.24</v>
      </c>
      <c r="R1783" s="851">
        <v>1.1000000000000001</v>
      </c>
      <c r="S1783" s="853">
        <f t="shared" si="67"/>
        <v>3.5640000000000005</v>
      </c>
    </row>
    <row r="1784" spans="1:19" s="127" customFormat="1">
      <c r="A1784" s="468"/>
      <c r="B1784" s="468"/>
      <c r="C1784" s="1001" t="s">
        <v>1832</v>
      </c>
      <c r="D1784" s="1001"/>
      <c r="E1784" s="1001"/>
      <c r="F1784" s="1001"/>
      <c r="G1784" s="343" t="s">
        <v>61</v>
      </c>
      <c r="H1784" s="443"/>
      <c r="I1784" s="340"/>
      <c r="J1784" s="340"/>
      <c r="K1784" s="458"/>
      <c r="L1784" s="457"/>
      <c r="M1784" s="309"/>
      <c r="N1784" s="855">
        <v>2.1779999999999999</v>
      </c>
      <c r="O1784" s="858"/>
      <c r="P1784" s="851"/>
      <c r="Q1784" s="852">
        <v>1.98</v>
      </c>
      <c r="R1784" s="851">
        <v>1.1000000000000001</v>
      </c>
      <c r="S1784" s="853">
        <f t="shared" si="67"/>
        <v>2.1779999999999999</v>
      </c>
    </row>
    <row r="1785" spans="1:19" s="127" customFormat="1">
      <c r="A1785" s="468"/>
      <c r="B1785" s="468"/>
      <c r="C1785" s="1001" t="s">
        <v>1833</v>
      </c>
      <c r="D1785" s="1001"/>
      <c r="E1785" s="1001"/>
      <c r="F1785" s="1001"/>
      <c r="G1785" s="343" t="s">
        <v>61</v>
      </c>
      <c r="H1785" s="443"/>
      <c r="I1785" s="340"/>
      <c r="J1785" s="340"/>
      <c r="K1785" s="458"/>
      <c r="L1785" s="457"/>
      <c r="M1785" s="309"/>
      <c r="N1785" s="855">
        <v>2.1779999999999999</v>
      </c>
      <c r="O1785" s="858"/>
      <c r="P1785" s="851"/>
      <c r="Q1785" s="852">
        <v>1.98</v>
      </c>
      <c r="R1785" s="851">
        <v>1.1000000000000001</v>
      </c>
      <c r="S1785" s="853">
        <f t="shared" si="67"/>
        <v>2.1779999999999999</v>
      </c>
    </row>
    <row r="1786" spans="1:19" ht="66.75" customHeight="1">
      <c r="A1786" s="377">
        <f>ORÇAMENTO!A188</f>
        <v>7767</v>
      </c>
      <c r="B1786" s="377" t="str">
        <f>ORÇAMENTO!C188</f>
        <v>11.02.02</v>
      </c>
      <c r="C1786" s="1003" t="str">
        <f>ORÇAMENTO!D188</f>
        <v>REVESTIMENTO CERÂMICO PARA PISO OU PAREDE, 60 X 60 CM, LINHA BIANCO PLUS POLIDO (PORCELANATO), COR BEGE, ELIANE OU SIMILAR, APLICADO COM ARGAMASSA INDUSTRIALIZADA AC-III, REJUNTADO COM EPOXI, EXCLUSIVE REGULARIZAÇÃO DE BASE OU EMBOÇO (RODAPÉ H=10CM)</v>
      </c>
      <c r="D1786" s="1003"/>
      <c r="E1786" s="1003"/>
      <c r="F1786" s="1003"/>
      <c r="G1786" s="425" t="s">
        <v>61</v>
      </c>
      <c r="H1786" s="383"/>
      <c r="I1786" s="380"/>
      <c r="J1786" s="115"/>
      <c r="K1786" s="115"/>
      <c r="L1786" s="115"/>
      <c r="M1786" s="115"/>
      <c r="N1786" s="115">
        <f>SUM(N1787:N1826)</f>
        <v>264.971608</v>
      </c>
      <c r="O1786" s="116"/>
    </row>
    <row r="1787" spans="1:19" s="129" customFormat="1">
      <c r="A1787" s="337"/>
      <c r="B1787" s="337"/>
      <c r="C1787" s="1005" t="s">
        <v>1976</v>
      </c>
      <c r="D1787" s="1005"/>
      <c r="E1787" s="1005"/>
      <c r="F1787" s="1005"/>
      <c r="G1787" s="338"/>
      <c r="H1787" s="443"/>
      <c r="I1787" s="340"/>
      <c r="J1787" s="340"/>
      <c r="K1787" s="340"/>
      <c r="L1787" s="382"/>
      <c r="M1787" s="117"/>
      <c r="N1787" s="119"/>
      <c r="O1787" s="119"/>
    </row>
    <row r="1788" spans="1:19" s="129" customFormat="1">
      <c r="A1788" s="337"/>
      <c r="B1788" s="337"/>
      <c r="C1788" s="1001" t="s">
        <v>1836</v>
      </c>
      <c r="D1788" s="1001"/>
      <c r="E1788" s="1001"/>
      <c r="F1788" s="1001"/>
      <c r="G1788" s="343" t="s">
        <v>61</v>
      </c>
      <c r="H1788" s="443">
        <v>1.1000000000000001</v>
      </c>
      <c r="I1788" s="340"/>
      <c r="J1788" s="340"/>
      <c r="K1788" s="340">
        <v>0.1</v>
      </c>
      <c r="L1788" s="382">
        <v>16.600000000000001</v>
      </c>
      <c r="M1788" s="117"/>
      <c r="N1788" s="119">
        <f>K1788*L1788*H1788</f>
        <v>1.8260000000000003</v>
      </c>
      <c r="O1788" s="119"/>
    </row>
    <row r="1789" spans="1:19" s="129" customFormat="1">
      <c r="A1789" s="337"/>
      <c r="B1789" s="337"/>
      <c r="C1789" s="1001" t="s">
        <v>1837</v>
      </c>
      <c r="D1789" s="1001"/>
      <c r="E1789" s="1001"/>
      <c r="F1789" s="1001"/>
      <c r="G1789" s="343" t="s">
        <v>61</v>
      </c>
      <c r="H1789" s="443">
        <v>1.1000000000000001</v>
      </c>
      <c r="I1789" s="340"/>
      <c r="J1789" s="340"/>
      <c r="K1789" s="340">
        <v>0.1</v>
      </c>
      <c r="L1789" s="382">
        <v>15.3</v>
      </c>
      <c r="M1789" s="117"/>
      <c r="N1789" s="119">
        <f t="shared" ref="N1789:N1826" si="68">K1789*L1789*H1789</f>
        <v>1.6830000000000005</v>
      </c>
      <c r="O1789" s="119"/>
    </row>
    <row r="1790" spans="1:19" s="129" customFormat="1">
      <c r="A1790" s="337"/>
      <c r="B1790" s="337"/>
      <c r="C1790" s="1001" t="s">
        <v>1977</v>
      </c>
      <c r="D1790" s="1001"/>
      <c r="E1790" s="1001"/>
      <c r="F1790" s="1001"/>
      <c r="G1790" s="343" t="s">
        <v>61</v>
      </c>
      <c r="H1790" s="443">
        <v>1.1000000000000001</v>
      </c>
      <c r="I1790" s="340"/>
      <c r="J1790" s="340"/>
      <c r="K1790" s="340">
        <v>0.1</v>
      </c>
      <c r="L1790" s="382">
        <v>17</v>
      </c>
      <c r="M1790" s="117"/>
      <c r="N1790" s="119">
        <f t="shared" si="68"/>
        <v>1.8700000000000003</v>
      </c>
      <c r="O1790" s="119"/>
    </row>
    <row r="1791" spans="1:19" s="129" customFormat="1">
      <c r="A1791" s="337"/>
      <c r="B1791" s="337"/>
      <c r="C1791" s="1001" t="s">
        <v>1978</v>
      </c>
      <c r="D1791" s="1001"/>
      <c r="E1791" s="1001"/>
      <c r="F1791" s="1001"/>
      <c r="G1791" s="343" t="s">
        <v>61</v>
      </c>
      <c r="H1791" s="443">
        <v>1.1000000000000001</v>
      </c>
      <c r="I1791" s="340"/>
      <c r="J1791" s="340"/>
      <c r="K1791" s="340">
        <v>0.1</v>
      </c>
      <c r="L1791" s="382">
        <v>5.8</v>
      </c>
      <c r="M1791" s="117"/>
      <c r="N1791" s="119">
        <f t="shared" si="68"/>
        <v>0.63800000000000001</v>
      </c>
      <c r="O1791" s="119"/>
    </row>
    <row r="1792" spans="1:19" s="129" customFormat="1">
      <c r="A1792" s="337"/>
      <c r="B1792" s="337"/>
      <c r="C1792" s="1001" t="s">
        <v>1839</v>
      </c>
      <c r="D1792" s="1001"/>
      <c r="E1792" s="1001"/>
      <c r="F1792" s="1001"/>
      <c r="G1792" s="343" t="s">
        <v>61</v>
      </c>
      <c r="H1792" s="443">
        <v>1.1000000000000001</v>
      </c>
      <c r="I1792" s="340"/>
      <c r="J1792" s="340"/>
      <c r="K1792" s="340">
        <v>0.1</v>
      </c>
      <c r="L1792" s="382">
        <v>17.001100000000001</v>
      </c>
      <c r="M1792" s="117"/>
      <c r="N1792" s="119">
        <f t="shared" si="68"/>
        <v>1.8701210000000004</v>
      </c>
      <c r="O1792" s="119"/>
    </row>
    <row r="1793" spans="1:15" s="129" customFormat="1">
      <c r="A1793" s="337"/>
      <c r="B1793" s="337"/>
      <c r="C1793" s="1001" t="s">
        <v>1840</v>
      </c>
      <c r="D1793" s="1001"/>
      <c r="E1793" s="1001"/>
      <c r="F1793" s="1001"/>
      <c r="G1793" s="343" t="s">
        <v>61</v>
      </c>
      <c r="H1793" s="443">
        <v>1.1000000000000001</v>
      </c>
      <c r="I1793" s="340"/>
      <c r="J1793" s="340"/>
      <c r="K1793" s="340">
        <v>0.1</v>
      </c>
      <c r="L1793" s="382">
        <v>5.8</v>
      </c>
      <c r="M1793" s="117"/>
      <c r="N1793" s="119">
        <f t="shared" si="68"/>
        <v>0.63800000000000001</v>
      </c>
      <c r="O1793" s="119"/>
    </row>
    <row r="1794" spans="1:15" s="129" customFormat="1">
      <c r="A1794" s="337"/>
      <c r="B1794" s="337"/>
      <c r="C1794" s="1001" t="s">
        <v>2009</v>
      </c>
      <c r="D1794" s="1001"/>
      <c r="E1794" s="1001"/>
      <c r="F1794" s="1001"/>
      <c r="G1794" s="343" t="s">
        <v>61</v>
      </c>
      <c r="H1794" s="443">
        <v>1.1000000000000001</v>
      </c>
      <c r="I1794" s="340"/>
      <c r="J1794" s="340"/>
      <c r="K1794" s="340">
        <v>1.8</v>
      </c>
      <c r="L1794" s="382">
        <v>66.2</v>
      </c>
      <c r="M1794" s="117"/>
      <c r="N1794" s="119">
        <f t="shared" si="68"/>
        <v>131.07600000000002</v>
      </c>
      <c r="O1794" s="119"/>
    </row>
    <row r="1795" spans="1:15" s="129" customFormat="1">
      <c r="A1795" s="337"/>
      <c r="B1795" s="337"/>
      <c r="C1795" s="1001" t="s">
        <v>1825</v>
      </c>
      <c r="D1795" s="1001"/>
      <c r="E1795" s="1001"/>
      <c r="F1795" s="1001"/>
      <c r="G1795" s="343" t="s">
        <v>61</v>
      </c>
      <c r="H1795" s="443">
        <v>1.1000000000000001</v>
      </c>
      <c r="I1795" s="340"/>
      <c r="J1795" s="340"/>
      <c r="K1795" s="340">
        <v>0.1</v>
      </c>
      <c r="L1795" s="382">
        <v>19.7</v>
      </c>
      <c r="M1795" s="117"/>
      <c r="N1795" s="119">
        <f t="shared" si="68"/>
        <v>2.1670000000000003</v>
      </c>
      <c r="O1795" s="119"/>
    </row>
    <row r="1796" spans="1:15" s="129" customFormat="1">
      <c r="A1796" s="337"/>
      <c r="B1796" s="337"/>
      <c r="C1796" s="1001" t="s">
        <v>1824</v>
      </c>
      <c r="D1796" s="1001"/>
      <c r="E1796" s="1001"/>
      <c r="F1796" s="1001"/>
      <c r="G1796" s="343" t="s">
        <v>61</v>
      </c>
      <c r="H1796" s="443">
        <v>1.1000000000000001</v>
      </c>
      <c r="I1796" s="340"/>
      <c r="J1796" s="340"/>
      <c r="K1796" s="340">
        <v>0.1</v>
      </c>
      <c r="L1796" s="382">
        <v>17.64</v>
      </c>
      <c r="M1796" s="117"/>
      <c r="N1796" s="119">
        <f t="shared" si="68"/>
        <v>1.9404000000000003</v>
      </c>
      <c r="O1796" s="119"/>
    </row>
    <row r="1797" spans="1:15" s="129" customFormat="1">
      <c r="A1797" s="337"/>
      <c r="B1797" s="337"/>
      <c r="C1797" s="1001" t="s">
        <v>1830</v>
      </c>
      <c r="D1797" s="1001"/>
      <c r="E1797" s="1001"/>
      <c r="F1797" s="1001"/>
      <c r="G1797" s="343" t="s">
        <v>61</v>
      </c>
      <c r="H1797" s="443">
        <v>1.1000000000000001</v>
      </c>
      <c r="I1797" s="340"/>
      <c r="J1797" s="340"/>
      <c r="K1797" s="340">
        <v>0.1</v>
      </c>
      <c r="L1797" s="382">
        <v>20.58</v>
      </c>
      <c r="M1797" s="117"/>
      <c r="N1797" s="119">
        <f t="shared" si="68"/>
        <v>2.2637999999999998</v>
      </c>
      <c r="O1797" s="119"/>
    </row>
    <row r="1798" spans="1:15" s="129" customFormat="1">
      <c r="A1798" s="337"/>
      <c r="B1798" s="337"/>
      <c r="C1798" s="1001" t="s">
        <v>1822</v>
      </c>
      <c r="D1798" s="1001"/>
      <c r="E1798" s="1001"/>
      <c r="F1798" s="1001"/>
      <c r="G1798" s="343" t="s">
        <v>61</v>
      </c>
      <c r="H1798" s="443">
        <v>1.1000000000000001</v>
      </c>
      <c r="I1798" s="340"/>
      <c r="J1798" s="340"/>
      <c r="K1798" s="340">
        <v>0.1</v>
      </c>
      <c r="L1798" s="382">
        <v>20.677499999999998</v>
      </c>
      <c r="M1798" s="117"/>
      <c r="N1798" s="119">
        <f t="shared" si="68"/>
        <v>2.2745250000000001</v>
      </c>
      <c r="O1798" s="119"/>
    </row>
    <row r="1799" spans="1:15" s="129" customFormat="1">
      <c r="A1799" s="337"/>
      <c r="B1799" s="337"/>
      <c r="C1799" s="1001" t="s">
        <v>1823</v>
      </c>
      <c r="D1799" s="1001"/>
      <c r="E1799" s="1001"/>
      <c r="F1799" s="1001"/>
      <c r="G1799" s="343" t="s">
        <v>61</v>
      </c>
      <c r="H1799" s="443">
        <v>1.1000000000000001</v>
      </c>
      <c r="I1799" s="340"/>
      <c r="J1799" s="340"/>
      <c r="K1799" s="340">
        <v>0.1</v>
      </c>
      <c r="L1799" s="382">
        <v>6.4</v>
      </c>
      <c r="M1799" s="117"/>
      <c r="N1799" s="119">
        <f t="shared" si="68"/>
        <v>0.70400000000000018</v>
      </c>
      <c r="O1799" s="119"/>
    </row>
    <row r="1800" spans="1:15" s="129" customFormat="1">
      <c r="A1800" s="337"/>
      <c r="B1800" s="337"/>
      <c r="C1800" s="1001" t="s">
        <v>1842</v>
      </c>
      <c r="D1800" s="1001"/>
      <c r="E1800" s="1001"/>
      <c r="F1800" s="1001"/>
      <c r="G1800" s="343" t="s">
        <v>61</v>
      </c>
      <c r="H1800" s="443">
        <v>1.1000000000000001</v>
      </c>
      <c r="I1800" s="340"/>
      <c r="J1800" s="340"/>
      <c r="K1800" s="340">
        <v>0.1</v>
      </c>
      <c r="L1800" s="459">
        <v>27.7</v>
      </c>
      <c r="M1800" s="117"/>
      <c r="N1800" s="119">
        <f t="shared" si="68"/>
        <v>3.0470000000000002</v>
      </c>
      <c r="O1800" s="119"/>
    </row>
    <row r="1801" spans="1:15" s="129" customFormat="1">
      <c r="A1801" s="337"/>
      <c r="B1801" s="337"/>
      <c r="C1801" s="1001" t="s">
        <v>1843</v>
      </c>
      <c r="D1801" s="1001"/>
      <c r="E1801" s="1001"/>
      <c r="F1801" s="1001"/>
      <c r="G1801" s="343" t="s">
        <v>61</v>
      </c>
      <c r="H1801" s="443">
        <v>1.1000000000000001</v>
      </c>
      <c r="I1801" s="340"/>
      <c r="J1801" s="340"/>
      <c r="K1801" s="340">
        <v>0.1</v>
      </c>
      <c r="L1801" s="459">
        <v>8.92</v>
      </c>
      <c r="M1801" s="117"/>
      <c r="N1801" s="119">
        <f t="shared" si="68"/>
        <v>0.98120000000000007</v>
      </c>
      <c r="O1801" s="119"/>
    </row>
    <row r="1802" spans="1:15" s="129" customFormat="1">
      <c r="A1802" s="337"/>
      <c r="B1802" s="337"/>
      <c r="C1802" s="1001" t="s">
        <v>1814</v>
      </c>
      <c r="D1802" s="1001"/>
      <c r="E1802" s="1001"/>
      <c r="F1802" s="1001"/>
      <c r="G1802" s="343" t="s">
        <v>61</v>
      </c>
      <c r="H1802" s="443">
        <v>1.1000000000000001</v>
      </c>
      <c r="I1802" s="340"/>
      <c r="J1802" s="340"/>
      <c r="K1802" s="340">
        <v>0.1</v>
      </c>
      <c r="L1802" s="459">
        <v>12.44</v>
      </c>
      <c r="M1802" s="117"/>
      <c r="N1802" s="119">
        <f t="shared" si="68"/>
        <v>1.3684000000000001</v>
      </c>
      <c r="O1802" s="119"/>
    </row>
    <row r="1803" spans="1:15" s="129" customFormat="1">
      <c r="A1803" s="337"/>
      <c r="B1803" s="337"/>
      <c r="C1803" s="1001" t="s">
        <v>1815</v>
      </c>
      <c r="D1803" s="1001"/>
      <c r="E1803" s="1001"/>
      <c r="F1803" s="1001"/>
      <c r="G1803" s="343" t="s">
        <v>61</v>
      </c>
      <c r="H1803" s="443">
        <v>1.1000000000000001</v>
      </c>
      <c r="I1803" s="340"/>
      <c r="J1803" s="340"/>
      <c r="K1803" s="340">
        <v>0.1</v>
      </c>
      <c r="L1803" s="459">
        <v>13.6</v>
      </c>
      <c r="M1803" s="117"/>
      <c r="N1803" s="119">
        <f t="shared" si="68"/>
        <v>1.4960000000000002</v>
      </c>
      <c r="O1803" s="119"/>
    </row>
    <row r="1804" spans="1:15" s="129" customFormat="1">
      <c r="A1804" s="337"/>
      <c r="B1804" s="337"/>
      <c r="C1804" s="1001" t="s">
        <v>1816</v>
      </c>
      <c r="D1804" s="1001"/>
      <c r="E1804" s="1001"/>
      <c r="F1804" s="1001"/>
      <c r="G1804" s="343" t="s">
        <v>61</v>
      </c>
      <c r="H1804" s="443">
        <v>1.1000000000000001</v>
      </c>
      <c r="I1804" s="340"/>
      <c r="J1804" s="340"/>
      <c r="K1804" s="340">
        <v>0.1</v>
      </c>
      <c r="L1804" s="459">
        <v>10.47</v>
      </c>
      <c r="M1804" s="117"/>
      <c r="N1804" s="119">
        <f t="shared" si="68"/>
        <v>1.1517000000000002</v>
      </c>
      <c r="O1804" s="119"/>
    </row>
    <row r="1805" spans="1:15" s="129" customFormat="1">
      <c r="A1805" s="337"/>
      <c r="B1805" s="337"/>
      <c r="C1805" s="1001" t="s">
        <v>1817</v>
      </c>
      <c r="D1805" s="1001"/>
      <c r="E1805" s="1001"/>
      <c r="F1805" s="1001"/>
      <c r="G1805" s="343" t="s">
        <v>61</v>
      </c>
      <c r="H1805" s="443">
        <v>1.1000000000000001</v>
      </c>
      <c r="I1805" s="340"/>
      <c r="J1805" s="340"/>
      <c r="K1805" s="340">
        <v>0.1</v>
      </c>
      <c r="L1805" s="459">
        <v>10.435</v>
      </c>
      <c r="M1805" s="117"/>
      <c r="N1805" s="119">
        <f t="shared" si="68"/>
        <v>1.1478500000000003</v>
      </c>
      <c r="O1805" s="119"/>
    </row>
    <row r="1806" spans="1:15" s="129" customFormat="1">
      <c r="A1806" s="337"/>
      <c r="B1806" s="337"/>
      <c r="C1806" s="1001" t="s">
        <v>1818</v>
      </c>
      <c r="D1806" s="1001"/>
      <c r="E1806" s="1001"/>
      <c r="F1806" s="1001"/>
      <c r="G1806" s="343" t="s">
        <v>61</v>
      </c>
      <c r="H1806" s="443">
        <v>1.1000000000000001</v>
      </c>
      <c r="I1806" s="340"/>
      <c r="J1806" s="340"/>
      <c r="K1806" s="340">
        <v>0.1</v>
      </c>
      <c r="L1806" s="459">
        <v>6.2</v>
      </c>
      <c r="M1806" s="117"/>
      <c r="N1806" s="119">
        <f t="shared" si="68"/>
        <v>0.68200000000000016</v>
      </c>
      <c r="O1806" s="119"/>
    </row>
    <row r="1807" spans="1:15" s="129" customFormat="1">
      <c r="A1807" s="337"/>
      <c r="B1807" s="337"/>
      <c r="C1807" s="1001" t="s">
        <v>1819</v>
      </c>
      <c r="D1807" s="1001"/>
      <c r="E1807" s="1001"/>
      <c r="F1807" s="1001"/>
      <c r="G1807" s="343" t="s">
        <v>61</v>
      </c>
      <c r="H1807" s="443">
        <v>1.1000000000000001</v>
      </c>
      <c r="I1807" s="340"/>
      <c r="J1807" s="340"/>
      <c r="K1807" s="340">
        <v>0.1</v>
      </c>
      <c r="L1807" s="459">
        <v>7.8</v>
      </c>
      <c r="M1807" s="117"/>
      <c r="N1807" s="119">
        <f t="shared" si="68"/>
        <v>0.8580000000000001</v>
      </c>
      <c r="O1807" s="119"/>
    </row>
    <row r="1808" spans="1:15" s="129" customFormat="1">
      <c r="A1808" s="337"/>
      <c r="B1808" s="337"/>
      <c r="C1808" s="1001" t="s">
        <v>1820</v>
      </c>
      <c r="D1808" s="1001"/>
      <c r="E1808" s="1001"/>
      <c r="F1808" s="1001"/>
      <c r="G1808" s="343" t="s">
        <v>61</v>
      </c>
      <c r="H1808" s="443">
        <v>1.1000000000000001</v>
      </c>
      <c r="I1808" s="340"/>
      <c r="J1808" s="340"/>
      <c r="K1808" s="340">
        <v>0.1</v>
      </c>
      <c r="L1808" s="459">
        <v>18.18</v>
      </c>
      <c r="M1808" s="117"/>
      <c r="N1808" s="119">
        <f t="shared" si="68"/>
        <v>1.9998000000000002</v>
      </c>
      <c r="O1808" s="119"/>
    </row>
    <row r="1809" spans="1:15" s="129" customFormat="1">
      <c r="A1809" s="337"/>
      <c r="B1809" s="337"/>
      <c r="C1809" s="1001" t="s">
        <v>1821</v>
      </c>
      <c r="D1809" s="1001"/>
      <c r="E1809" s="1001"/>
      <c r="F1809" s="1001"/>
      <c r="G1809" s="343" t="s">
        <v>61</v>
      </c>
      <c r="H1809" s="443">
        <v>1.1000000000000001</v>
      </c>
      <c r="I1809" s="340"/>
      <c r="J1809" s="340"/>
      <c r="K1809" s="340">
        <v>0.1</v>
      </c>
      <c r="L1809" s="459">
        <v>15.68</v>
      </c>
      <c r="M1809" s="117"/>
      <c r="N1809" s="119">
        <f t="shared" si="68"/>
        <v>1.7248000000000001</v>
      </c>
      <c r="O1809" s="119"/>
    </row>
    <row r="1810" spans="1:15" s="129" customFormat="1">
      <c r="A1810" s="337"/>
      <c r="B1810" s="337"/>
      <c r="C1810" s="1001" t="s">
        <v>1822</v>
      </c>
      <c r="D1810" s="1001"/>
      <c r="E1810" s="1001"/>
      <c r="F1810" s="1001"/>
      <c r="G1810" s="343" t="s">
        <v>61</v>
      </c>
      <c r="H1810" s="443">
        <v>1.1000000000000001</v>
      </c>
      <c r="I1810" s="340"/>
      <c r="J1810" s="340"/>
      <c r="K1810" s="340">
        <v>0.1</v>
      </c>
      <c r="L1810" s="459">
        <v>20.68</v>
      </c>
      <c r="M1810" s="117"/>
      <c r="N1810" s="119">
        <f t="shared" si="68"/>
        <v>2.2748000000000004</v>
      </c>
      <c r="O1810" s="119"/>
    </row>
    <row r="1811" spans="1:15" s="129" customFormat="1">
      <c r="A1811" s="337"/>
      <c r="B1811" s="337"/>
      <c r="C1811" s="1001" t="s">
        <v>1979</v>
      </c>
      <c r="D1811" s="1001"/>
      <c r="E1811" s="1001"/>
      <c r="F1811" s="1001"/>
      <c r="G1811" s="343" t="s">
        <v>61</v>
      </c>
      <c r="H1811" s="443">
        <v>1.1000000000000001</v>
      </c>
      <c r="I1811" s="340"/>
      <c r="J1811" s="340"/>
      <c r="K1811" s="340">
        <v>0.1</v>
      </c>
      <c r="L1811" s="459">
        <v>6.4</v>
      </c>
      <c r="M1811" s="117"/>
      <c r="N1811" s="119">
        <f t="shared" si="68"/>
        <v>0.70400000000000018</v>
      </c>
      <c r="O1811" s="119"/>
    </row>
    <row r="1812" spans="1:15" s="129" customFormat="1">
      <c r="A1812" s="337"/>
      <c r="B1812" s="337"/>
      <c r="C1812" s="1001" t="s">
        <v>1842</v>
      </c>
      <c r="D1812" s="1001"/>
      <c r="E1812" s="1001"/>
      <c r="F1812" s="1001"/>
      <c r="G1812" s="343" t="s">
        <v>61</v>
      </c>
      <c r="H1812" s="443">
        <v>1.1000000000000001</v>
      </c>
      <c r="I1812" s="340"/>
      <c r="J1812" s="340"/>
      <c r="K1812" s="340">
        <v>0.1</v>
      </c>
      <c r="L1812" s="459">
        <v>27.7</v>
      </c>
      <c r="M1812" s="117"/>
      <c r="N1812" s="119">
        <f t="shared" si="68"/>
        <v>3.0470000000000002</v>
      </c>
      <c r="O1812" s="119"/>
    </row>
    <row r="1813" spans="1:15" s="129" customFormat="1">
      <c r="A1813" s="337"/>
      <c r="B1813" s="337"/>
      <c r="C1813" s="1001" t="s">
        <v>1843</v>
      </c>
      <c r="D1813" s="1001"/>
      <c r="E1813" s="1001"/>
      <c r="F1813" s="1001"/>
      <c r="G1813" s="343" t="s">
        <v>61</v>
      </c>
      <c r="H1813" s="443">
        <v>1.1000000000000001</v>
      </c>
      <c r="I1813" s="340"/>
      <c r="J1813" s="340"/>
      <c r="K1813" s="340">
        <v>0.1</v>
      </c>
      <c r="L1813" s="459">
        <v>8.92</v>
      </c>
      <c r="M1813" s="117"/>
      <c r="N1813" s="119">
        <f t="shared" si="68"/>
        <v>0.98120000000000007</v>
      </c>
      <c r="O1813" s="119"/>
    </row>
    <row r="1814" spans="1:15" s="129" customFormat="1">
      <c r="A1814" s="337"/>
      <c r="B1814" s="337"/>
      <c r="C1814" s="1001" t="s">
        <v>1830</v>
      </c>
      <c r="D1814" s="1001"/>
      <c r="E1814" s="1001"/>
      <c r="F1814" s="1001"/>
      <c r="G1814" s="343" t="s">
        <v>61</v>
      </c>
      <c r="H1814" s="443">
        <v>1.1000000000000001</v>
      </c>
      <c r="I1814" s="340"/>
      <c r="J1814" s="340"/>
      <c r="K1814" s="340">
        <v>0.1</v>
      </c>
      <c r="L1814" s="457">
        <v>20.58</v>
      </c>
      <c r="M1814" s="117"/>
      <c r="N1814" s="119">
        <f t="shared" si="68"/>
        <v>2.2637999999999998</v>
      </c>
      <c r="O1814" s="119"/>
    </row>
    <row r="1815" spans="1:15" s="129" customFormat="1">
      <c r="A1815" s="337"/>
      <c r="B1815" s="337"/>
      <c r="C1815" s="1001" t="s">
        <v>1824</v>
      </c>
      <c r="D1815" s="1001"/>
      <c r="E1815" s="1001"/>
      <c r="F1815" s="1001"/>
      <c r="G1815" s="343" t="s">
        <v>61</v>
      </c>
      <c r="H1815" s="443">
        <v>1.1000000000000001</v>
      </c>
      <c r="I1815" s="340"/>
      <c r="J1815" s="340"/>
      <c r="K1815" s="340">
        <v>0.1</v>
      </c>
      <c r="L1815" s="457">
        <v>17.64</v>
      </c>
      <c r="M1815" s="117"/>
      <c r="N1815" s="119">
        <f t="shared" si="68"/>
        <v>1.9404000000000003</v>
      </c>
      <c r="O1815" s="119"/>
    </row>
    <row r="1816" spans="1:15" s="129" customFormat="1">
      <c r="A1816" s="337"/>
      <c r="B1816" s="337"/>
      <c r="C1816" s="1001" t="s">
        <v>1855</v>
      </c>
      <c r="D1816" s="1001"/>
      <c r="E1816" s="1001"/>
      <c r="F1816" s="1001"/>
      <c r="G1816" s="343" t="s">
        <v>61</v>
      </c>
      <c r="H1816" s="443">
        <v>1.1000000000000001</v>
      </c>
      <c r="I1816" s="340"/>
      <c r="J1816" s="340"/>
      <c r="K1816" s="340">
        <v>0.1</v>
      </c>
      <c r="L1816" s="457">
        <v>22.4</v>
      </c>
      <c r="M1816" s="117"/>
      <c r="N1816" s="119">
        <f t="shared" si="68"/>
        <v>2.464</v>
      </c>
      <c r="O1816" s="119"/>
    </row>
    <row r="1817" spans="1:15" s="129" customFormat="1">
      <c r="A1817" s="337"/>
      <c r="B1817" s="337"/>
      <c r="C1817" s="1001" t="s">
        <v>1826</v>
      </c>
      <c r="D1817" s="1001"/>
      <c r="E1817" s="1001"/>
      <c r="F1817" s="1001"/>
      <c r="G1817" s="343" t="s">
        <v>61</v>
      </c>
      <c r="H1817" s="443">
        <v>1.1000000000000001</v>
      </c>
      <c r="I1817" s="340"/>
      <c r="J1817" s="340"/>
      <c r="K1817" s="340">
        <v>0.1</v>
      </c>
      <c r="L1817" s="459">
        <v>9.1999999999999993</v>
      </c>
      <c r="M1817" s="117"/>
      <c r="N1817" s="119">
        <f t="shared" si="68"/>
        <v>1.012</v>
      </c>
      <c r="O1817" s="119"/>
    </row>
    <row r="1818" spans="1:15" s="129" customFormat="1">
      <c r="A1818" s="337"/>
      <c r="B1818" s="337"/>
      <c r="C1818" s="1001" t="s">
        <v>1980</v>
      </c>
      <c r="D1818" s="1001"/>
      <c r="E1818" s="1001"/>
      <c r="F1818" s="1001"/>
      <c r="G1818" s="343" t="s">
        <v>61</v>
      </c>
      <c r="H1818" s="443">
        <v>1.1000000000000001</v>
      </c>
      <c r="I1818" s="340"/>
      <c r="J1818" s="340"/>
      <c r="K1818" s="340">
        <v>0.1</v>
      </c>
      <c r="L1818" s="459">
        <v>8.9</v>
      </c>
      <c r="M1818" s="117"/>
      <c r="N1818" s="119">
        <f t="shared" si="68"/>
        <v>0.9790000000000002</v>
      </c>
      <c r="O1818" s="119"/>
    </row>
    <row r="1819" spans="1:15" s="129" customFormat="1">
      <c r="A1819" s="337"/>
      <c r="B1819" s="337"/>
      <c r="C1819" s="1001" t="s">
        <v>1981</v>
      </c>
      <c r="D1819" s="1001"/>
      <c r="E1819" s="1001"/>
      <c r="F1819" s="1001"/>
      <c r="G1819" s="343" t="s">
        <v>61</v>
      </c>
      <c r="H1819" s="443">
        <v>1.1000000000000001</v>
      </c>
      <c r="I1819" s="340"/>
      <c r="J1819" s="340"/>
      <c r="K1819" s="340">
        <v>0.1</v>
      </c>
      <c r="L1819" s="459">
        <v>8.9</v>
      </c>
      <c r="M1819" s="117"/>
      <c r="N1819" s="119">
        <f t="shared" si="68"/>
        <v>0.9790000000000002</v>
      </c>
      <c r="O1819" s="119"/>
    </row>
    <row r="1820" spans="1:15" s="129" customFormat="1">
      <c r="A1820" s="337"/>
      <c r="B1820" s="337"/>
      <c r="C1820" s="1001" t="s">
        <v>1830</v>
      </c>
      <c r="D1820" s="1001"/>
      <c r="E1820" s="1001"/>
      <c r="F1820" s="1001"/>
      <c r="G1820" s="343" t="s">
        <v>61</v>
      </c>
      <c r="H1820" s="443">
        <v>1.1000000000000001</v>
      </c>
      <c r="I1820" s="340"/>
      <c r="J1820" s="340"/>
      <c r="K1820" s="340">
        <v>0.1</v>
      </c>
      <c r="L1820" s="459">
        <f>16.4988+7.8</f>
        <v>24.2988</v>
      </c>
      <c r="M1820" s="117"/>
      <c r="N1820" s="119">
        <f t="shared" si="68"/>
        <v>2.6728680000000007</v>
      </c>
      <c r="O1820" s="119"/>
    </row>
    <row r="1821" spans="1:15" s="129" customFormat="1">
      <c r="A1821" s="337"/>
      <c r="B1821" s="337"/>
      <c r="C1821" s="1001" t="s">
        <v>1831</v>
      </c>
      <c r="D1821" s="1001"/>
      <c r="E1821" s="1001"/>
      <c r="F1821" s="1001"/>
      <c r="G1821" s="343" t="s">
        <v>61</v>
      </c>
      <c r="H1821" s="443">
        <v>1.1000000000000001</v>
      </c>
      <c r="I1821" s="340"/>
      <c r="J1821" s="340"/>
      <c r="K1821" s="340">
        <v>0.1</v>
      </c>
      <c r="L1821" s="459">
        <v>47</v>
      </c>
      <c r="M1821" s="117"/>
      <c r="N1821" s="119">
        <f t="shared" si="68"/>
        <v>5.1700000000000008</v>
      </c>
      <c r="O1821" s="119"/>
    </row>
    <row r="1822" spans="1:15" s="129" customFormat="1">
      <c r="A1822" s="337"/>
      <c r="B1822" s="337"/>
      <c r="C1822" s="1001" t="s">
        <v>2010</v>
      </c>
      <c r="D1822" s="1001"/>
      <c r="E1822" s="1001"/>
      <c r="F1822" s="1001"/>
      <c r="G1822" s="343" t="s">
        <v>61</v>
      </c>
      <c r="H1822" s="443">
        <v>1.1000000000000001</v>
      </c>
      <c r="I1822" s="340"/>
      <c r="J1822" s="119"/>
      <c r="K1822" s="340">
        <v>1.8</v>
      </c>
      <c r="L1822" s="119">
        <v>37.482799999999997</v>
      </c>
      <c r="M1822" s="117"/>
      <c r="N1822" s="119">
        <f t="shared" si="68"/>
        <v>74.215943999999993</v>
      </c>
      <c r="O1822" s="119"/>
    </row>
    <row r="1823" spans="1:15" s="129" customFormat="1">
      <c r="A1823" s="337"/>
      <c r="B1823" s="337"/>
      <c r="C1823" s="1001" t="s">
        <v>1983</v>
      </c>
      <c r="D1823" s="1001"/>
      <c r="E1823" s="1001"/>
      <c r="F1823" s="1001"/>
      <c r="G1823" s="343" t="s">
        <v>61</v>
      </c>
      <c r="H1823" s="443">
        <v>1.1000000000000001</v>
      </c>
      <c r="I1823" s="340"/>
      <c r="J1823" s="458"/>
      <c r="K1823" s="340">
        <v>0.1</v>
      </c>
      <c r="L1823" s="458">
        <v>7.2</v>
      </c>
      <c r="M1823" s="117"/>
      <c r="N1823" s="119">
        <f t="shared" si="68"/>
        <v>0.79200000000000015</v>
      </c>
      <c r="O1823" s="119"/>
    </row>
    <row r="1824" spans="1:15" s="129" customFormat="1">
      <c r="A1824" s="337"/>
      <c r="B1824" s="337"/>
      <c r="C1824" s="1001" t="s">
        <v>1984</v>
      </c>
      <c r="D1824" s="1001"/>
      <c r="E1824" s="1001"/>
      <c r="F1824" s="1001"/>
      <c r="G1824" s="343" t="s">
        <v>61</v>
      </c>
      <c r="H1824" s="443">
        <v>1.1000000000000001</v>
      </c>
      <c r="I1824" s="340"/>
      <c r="J1824" s="340"/>
      <c r="K1824" s="340">
        <v>0.1</v>
      </c>
      <c r="L1824" s="457">
        <v>7.2</v>
      </c>
      <c r="M1824" s="117"/>
      <c r="N1824" s="119">
        <f t="shared" si="68"/>
        <v>0.79200000000000015</v>
      </c>
      <c r="O1824" s="119"/>
    </row>
    <row r="1825" spans="1:15" s="129" customFormat="1">
      <c r="A1825" s="337"/>
      <c r="B1825" s="337"/>
      <c r="C1825" s="1001" t="s">
        <v>1832</v>
      </c>
      <c r="D1825" s="1001"/>
      <c r="E1825" s="1001"/>
      <c r="F1825" s="1001"/>
      <c r="G1825" s="343" t="s">
        <v>61</v>
      </c>
      <c r="H1825" s="443">
        <v>1.1000000000000001</v>
      </c>
      <c r="I1825" s="340"/>
      <c r="J1825" s="340"/>
      <c r="K1825" s="340">
        <v>0.1</v>
      </c>
      <c r="L1825" s="457">
        <v>5.8</v>
      </c>
      <c r="M1825" s="117"/>
      <c r="N1825" s="119">
        <f t="shared" si="68"/>
        <v>0.63800000000000001</v>
      </c>
      <c r="O1825" s="119"/>
    </row>
    <row r="1826" spans="1:15" s="129" customFormat="1">
      <c r="A1826" s="337"/>
      <c r="B1826" s="337"/>
      <c r="C1826" s="1001" t="s">
        <v>1833</v>
      </c>
      <c r="D1826" s="1001"/>
      <c r="E1826" s="1001"/>
      <c r="F1826" s="1001"/>
      <c r="G1826" s="343" t="s">
        <v>61</v>
      </c>
      <c r="H1826" s="443">
        <v>1.1000000000000001</v>
      </c>
      <c r="I1826" s="340"/>
      <c r="J1826" s="340"/>
      <c r="K1826" s="340">
        <v>0.1</v>
      </c>
      <c r="L1826" s="457">
        <v>5.8</v>
      </c>
      <c r="M1826" s="117"/>
      <c r="N1826" s="119">
        <f t="shared" si="68"/>
        <v>0.63800000000000001</v>
      </c>
      <c r="O1826" s="119"/>
    </row>
    <row r="1827" spans="1:15" s="129" customFormat="1">
      <c r="A1827" s="377">
        <f>ORÇAMENTO!A189</f>
        <v>7285</v>
      </c>
      <c r="B1827" s="377" t="str">
        <f>ORÇAMENTO!C189</f>
        <v>11.02.03</v>
      </c>
      <c r="C1827" s="1003" t="str">
        <f>ORÇAMENTO!D189</f>
        <v>SOLEIRA EM GRANITO BRANCO FORTALEZA, L = 15 CM, E = 2 CM</v>
      </c>
      <c r="D1827" s="1003"/>
      <c r="E1827" s="1003"/>
      <c r="F1827" s="1003"/>
      <c r="G1827" s="377" t="s">
        <v>246</v>
      </c>
      <c r="H1827" s="383"/>
      <c r="I1827" s="380"/>
      <c r="J1827" s="380"/>
      <c r="K1827" s="115"/>
      <c r="L1827" s="115">
        <f>SUM(L1828)</f>
        <v>25</v>
      </c>
      <c r="M1827" s="115"/>
      <c r="N1827" s="116"/>
      <c r="O1827" s="116"/>
    </row>
    <row r="1828" spans="1:15" s="129" customFormat="1">
      <c r="A1828" s="337"/>
      <c r="B1828" s="337"/>
      <c r="C1828" s="1002" t="s">
        <v>2011</v>
      </c>
      <c r="D1828" s="1002"/>
      <c r="E1828" s="1002"/>
      <c r="F1828" s="1002"/>
      <c r="G1828" s="389" t="s">
        <v>246</v>
      </c>
      <c r="H1828" s="339">
        <v>1.1000000000000001</v>
      </c>
      <c r="I1828" s="340"/>
      <c r="J1828" s="340"/>
      <c r="K1828" s="117"/>
      <c r="L1828" s="118">
        <v>25</v>
      </c>
      <c r="M1828" s="117"/>
      <c r="N1828" s="118"/>
      <c r="O1828" s="118"/>
    </row>
    <row r="1829" spans="1:15" s="129" customFormat="1">
      <c r="A1829" s="337"/>
      <c r="B1829" s="337"/>
      <c r="C1829" s="1002"/>
      <c r="D1829" s="1002"/>
      <c r="E1829" s="1002"/>
      <c r="F1829" s="1002"/>
      <c r="G1829" s="389"/>
      <c r="H1829" s="339">
        <v>1.1000000000000001</v>
      </c>
      <c r="I1829" s="340"/>
      <c r="J1829" s="340"/>
      <c r="K1829" s="117"/>
      <c r="L1829" s="118"/>
      <c r="M1829" s="117"/>
      <c r="N1829" s="118"/>
      <c r="O1829" s="118"/>
    </row>
    <row r="1830" spans="1:15" ht="12.75" customHeight="1">
      <c r="A1830" s="373" t="s">
        <v>11</v>
      </c>
      <c r="B1830" s="374" t="s">
        <v>13</v>
      </c>
      <c r="C1830" s="1048" t="s">
        <v>1443</v>
      </c>
      <c r="D1830" s="1048"/>
      <c r="E1830" s="1048"/>
      <c r="F1830" s="1048"/>
      <c r="G1830" s="374" t="s">
        <v>15</v>
      </c>
      <c r="H1830" s="375" t="s">
        <v>1444</v>
      </c>
      <c r="I1830" s="106" t="s">
        <v>1445</v>
      </c>
      <c r="J1830" s="106" t="s">
        <v>1446</v>
      </c>
      <c r="K1830" s="375" t="s">
        <v>1447</v>
      </c>
      <c r="L1830" s="375" t="s">
        <v>1448</v>
      </c>
      <c r="M1830" s="374" t="s">
        <v>1457</v>
      </c>
      <c r="N1830" s="375" t="s">
        <v>1450</v>
      </c>
      <c r="O1830" s="375" t="s">
        <v>1451</v>
      </c>
    </row>
    <row r="1831" spans="1:15">
      <c r="A1831" s="376"/>
      <c r="B1831" s="376" t="str">
        <f>ORÇAMENTO!C190</f>
        <v>11.03</v>
      </c>
      <c r="C1831" s="1084" t="str">
        <f>ORÇAMENTO!D190</f>
        <v>PISOS EXTERNOS</v>
      </c>
      <c r="D1831" s="1085"/>
      <c r="E1831" s="1085"/>
      <c r="F1831" s="1085"/>
      <c r="G1831" s="1085"/>
      <c r="H1831" s="1085"/>
      <c r="I1831" s="1085"/>
      <c r="J1831" s="1085"/>
      <c r="K1831" s="1085"/>
      <c r="L1831" s="1085"/>
      <c r="M1831" s="1085"/>
      <c r="N1831" s="1085"/>
      <c r="O1831" s="1086"/>
    </row>
    <row r="1832" spans="1:15" ht="51" customHeight="1">
      <c r="A1832" s="377">
        <f>ORÇAMENTO!A191</f>
        <v>11461</v>
      </c>
      <c r="B1832" s="377" t="str">
        <f>ORÇAMENTO!C191</f>
        <v>11.03.01</v>
      </c>
      <c r="C1832" s="1003" t="str">
        <f>ORÇAMENTO!D191</f>
        <v>PAVIMENTAÇÃO EM BLOCO DE CONCRETO VIBROPRENSADO, INTERTRAVADO, COLORIDO, 10X20CM, E=8CM, 46UN/M2, NBR9781, FCK(MIN)=35MPA, SOB COXIM AREIA GROSSA COMPACTADA C/ PLACA VIBRATÓRIA, E(COMP.)=6CM, REJUNTADO C/ AREIA FINA.</v>
      </c>
      <c r="D1832" s="1003"/>
      <c r="E1832" s="1003"/>
      <c r="F1832" s="1003"/>
      <c r="G1832" s="377" t="s">
        <v>61</v>
      </c>
      <c r="H1832" s="383"/>
      <c r="I1832" s="380"/>
      <c r="J1832" s="380"/>
      <c r="K1832" s="115"/>
      <c r="L1832" s="115"/>
      <c r="M1832" s="115"/>
      <c r="N1832" s="116">
        <f>SUM(N1833:N1834)</f>
        <v>1760.15</v>
      </c>
      <c r="O1832" s="116"/>
    </row>
    <row r="1833" spans="1:15" s="47" customFormat="1" ht="15">
      <c r="A1833" s="337"/>
      <c r="B1833" s="337"/>
      <c r="C1833" s="1002" t="s">
        <v>2012</v>
      </c>
      <c r="D1833" s="1002"/>
      <c r="E1833" s="1002"/>
      <c r="F1833" s="1002"/>
      <c r="G1833" s="389" t="s">
        <v>61</v>
      </c>
      <c r="H1833" s="339">
        <v>1.1000000000000001</v>
      </c>
      <c r="I1833" s="340"/>
      <c r="J1833" s="340"/>
      <c r="K1833" s="117"/>
      <c r="L1833" s="118"/>
      <c r="M1833" s="117"/>
      <c r="N1833" s="118">
        <v>1760.15</v>
      </c>
      <c r="O1833" s="118"/>
    </row>
    <row r="1834" spans="1:15" s="47" customFormat="1" ht="15">
      <c r="A1834" s="337"/>
      <c r="B1834" s="337"/>
      <c r="C1834" s="1002"/>
      <c r="D1834" s="1002"/>
      <c r="E1834" s="1002"/>
      <c r="F1834" s="1002"/>
      <c r="G1834" s="389"/>
      <c r="H1834" s="339"/>
      <c r="I1834" s="340"/>
      <c r="J1834" s="340"/>
      <c r="K1834" s="117"/>
      <c r="L1834" s="118"/>
      <c r="M1834" s="117"/>
      <c r="N1834" s="118"/>
      <c r="O1834" s="118"/>
    </row>
    <row r="1835" spans="1:15" ht="38.450000000000003" customHeight="1">
      <c r="A1835" s="377">
        <f>ORÇAMENTO!A192</f>
        <v>4555</v>
      </c>
      <c r="B1835" s="377" t="str">
        <f>ORÇAMENTO!C192</f>
        <v>11.03.02</v>
      </c>
      <c r="C1835" s="1003" t="str">
        <f>ORÇAMENTO!D192</f>
        <v>MEIO-FIO DE CONCRETO SIMPLES, REJUNTADO COM ARGAMASSA DE CIMENTO E AREIA NO TRAÇO 1:3</v>
      </c>
      <c r="D1835" s="1003"/>
      <c r="E1835" s="1003"/>
      <c r="F1835" s="1003"/>
      <c r="G1835" s="377" t="str">
        <f>ORÇAMENTO!E191</f>
        <v>M²</v>
      </c>
      <c r="H1835" s="377"/>
      <c r="I1835" s="379"/>
      <c r="J1835" s="115">
        <f>SUM(J1836:J1837)</f>
        <v>579.6</v>
      </c>
      <c r="K1835" s="379"/>
      <c r="L1835" s="115"/>
      <c r="M1835" s="379"/>
      <c r="N1835" s="379"/>
      <c r="O1835" s="379"/>
    </row>
    <row r="1836" spans="1:15" s="129" customFormat="1">
      <c r="A1836" s="337"/>
      <c r="B1836" s="337"/>
      <c r="C1836" s="1002" t="s">
        <v>2013</v>
      </c>
      <c r="D1836" s="1002"/>
      <c r="E1836" s="1002"/>
      <c r="F1836" s="1002"/>
      <c r="G1836" s="389" t="s">
        <v>246</v>
      </c>
      <c r="H1836" s="469"/>
      <c r="I1836" s="340"/>
      <c r="J1836" s="117">
        <v>321.72000000000003</v>
      </c>
      <c r="K1836" s="117"/>
      <c r="L1836" s="117"/>
      <c r="M1836" s="117"/>
      <c r="N1836" s="119"/>
      <c r="O1836" s="119"/>
    </row>
    <row r="1837" spans="1:15" s="129" customFormat="1">
      <c r="A1837" s="337"/>
      <c r="B1837" s="337"/>
      <c r="C1837" s="1002" t="s">
        <v>2014</v>
      </c>
      <c r="D1837" s="1002"/>
      <c r="E1837" s="1002"/>
      <c r="F1837" s="1002"/>
      <c r="G1837" s="389" t="s">
        <v>246</v>
      </c>
      <c r="H1837" s="469"/>
      <c r="I1837" s="340"/>
      <c r="J1837" s="117">
        <v>257.88</v>
      </c>
      <c r="K1837" s="117"/>
      <c r="L1837" s="117"/>
      <c r="M1837" s="117"/>
      <c r="N1837" s="119"/>
      <c r="O1837" s="119"/>
    </row>
    <row r="1838" spans="1:15" ht="35.450000000000003" customHeight="1">
      <c r="A1838" s="470" t="s">
        <v>2015</v>
      </c>
      <c r="B1838" s="377" t="str">
        <f>ORÇAMENTO!C193</f>
        <v>11.03.03</v>
      </c>
      <c r="C1838" s="1003" t="str">
        <f>ORÇAMENTO!D193</f>
        <v>PISO EM CONCRETO 20 MPA PREPARO MECÂNICO, ESPESSURA 7CM. AF_09/2020</v>
      </c>
      <c r="D1838" s="1003"/>
      <c r="E1838" s="1003"/>
      <c r="F1838" s="1003"/>
      <c r="G1838" s="377" t="str">
        <f>ORÇAMENTO!E192</f>
        <v>M</v>
      </c>
      <c r="H1838" s="377"/>
      <c r="I1838" s="379"/>
      <c r="J1838" s="379"/>
      <c r="K1838" s="379"/>
      <c r="L1838" s="379"/>
      <c r="M1838" s="379"/>
      <c r="N1838" s="380">
        <f>SUM(N1839:N1842)</f>
        <v>406.54790000000003</v>
      </c>
      <c r="O1838" s="379"/>
    </row>
    <row r="1839" spans="1:15" s="127" customFormat="1" ht="14.25" customHeight="1">
      <c r="A1839" s="337"/>
      <c r="B1839" s="337"/>
      <c r="C1839" s="1002" t="s">
        <v>2016</v>
      </c>
      <c r="D1839" s="1002"/>
      <c r="E1839" s="1002"/>
      <c r="F1839" s="1002"/>
      <c r="G1839" s="389" t="s">
        <v>61</v>
      </c>
      <c r="H1839" s="339">
        <v>1.1000000000000001</v>
      </c>
      <c r="I1839" s="340"/>
      <c r="J1839" s="117"/>
      <c r="K1839" s="117"/>
      <c r="L1839" s="118"/>
      <c r="M1839" s="117"/>
      <c r="N1839" s="118">
        <f>9.0494+7.7906+5.703</f>
        <v>22.542999999999999</v>
      </c>
      <c r="O1839" s="119"/>
    </row>
    <row r="1840" spans="1:15" s="127" customFormat="1" ht="14.45" customHeight="1">
      <c r="A1840" s="337"/>
      <c r="B1840" s="337"/>
      <c r="C1840" s="1002" t="s">
        <v>2017</v>
      </c>
      <c r="D1840" s="1002"/>
      <c r="E1840" s="1002"/>
      <c r="F1840" s="1002"/>
      <c r="G1840" s="389" t="s">
        <v>61</v>
      </c>
      <c r="H1840" s="339">
        <v>1.1000000000000001</v>
      </c>
      <c r="I1840" s="340"/>
      <c r="J1840" s="117"/>
      <c r="K1840" s="117"/>
      <c r="L1840" s="118"/>
      <c r="M1840" s="117"/>
      <c r="N1840" s="118">
        <v>17.149999999999999</v>
      </c>
      <c r="O1840" s="119"/>
    </row>
    <row r="1841" spans="1:15" s="127" customFormat="1" ht="14.45" customHeight="1">
      <c r="A1841" s="337"/>
      <c r="B1841" s="337"/>
      <c r="C1841" s="1002" t="s">
        <v>2018</v>
      </c>
      <c r="D1841" s="1002"/>
      <c r="E1841" s="1002"/>
      <c r="F1841" s="1002"/>
      <c r="G1841" s="389" t="s">
        <v>61</v>
      </c>
      <c r="H1841" s="339">
        <v>1.1000000000000001</v>
      </c>
      <c r="I1841" s="340"/>
      <c r="J1841" s="117"/>
      <c r="K1841" s="117"/>
      <c r="L1841" s="118"/>
      <c r="M1841" s="117"/>
      <c r="N1841" s="118">
        <v>26.5349</v>
      </c>
      <c r="O1841" s="119"/>
    </row>
    <row r="1842" spans="1:15" s="127" customFormat="1">
      <c r="A1842" s="337"/>
      <c r="B1842" s="337"/>
      <c r="C1842" s="1002" t="s">
        <v>2019</v>
      </c>
      <c r="D1842" s="1002"/>
      <c r="E1842" s="1002"/>
      <c r="F1842" s="1002"/>
      <c r="G1842" s="389" t="s">
        <v>61</v>
      </c>
      <c r="H1842" s="339">
        <v>1.1000000000000001</v>
      </c>
      <c r="I1842" s="340"/>
      <c r="J1842" s="117"/>
      <c r="K1842" s="117"/>
      <c r="L1842" s="118"/>
      <c r="M1842" s="117"/>
      <c r="N1842" s="118">
        <v>340.32</v>
      </c>
      <c r="O1842" s="119"/>
    </row>
    <row r="1843" spans="1:15" ht="30" customHeight="1">
      <c r="A1843" s="470" t="s">
        <v>402</v>
      </c>
      <c r="B1843" s="377" t="str">
        <f>ORÇAMENTO!C194</f>
        <v>11.03.04</v>
      </c>
      <c r="C1843" s="1003" t="str">
        <f>ORÇAMENTO!D194</f>
        <v>ACABAMENTO DE SUPERFÍCIE DE PISO DE CONCRETO COM DESEMPOLAMENTO MANUAL (CALÇADA E RAMPA)</v>
      </c>
      <c r="D1843" s="1003"/>
      <c r="E1843" s="1003"/>
      <c r="F1843" s="1003"/>
      <c r="G1843" s="377" t="str">
        <f>ORÇAMENTO!E193</f>
        <v>M²</v>
      </c>
      <c r="H1843" s="377"/>
      <c r="I1843" s="379"/>
      <c r="J1843" s="379"/>
      <c r="K1843" s="379"/>
      <c r="L1843" s="379"/>
      <c r="M1843" s="379"/>
      <c r="N1843" s="380">
        <f>SUM(N1844:N1847)</f>
        <v>406.54790000000003</v>
      </c>
      <c r="O1843" s="379"/>
    </row>
    <row r="1844" spans="1:15" s="127" customFormat="1" ht="14.25" customHeight="1">
      <c r="A1844" s="337"/>
      <c r="B1844" s="337"/>
      <c r="C1844" s="1002" t="s">
        <v>2016</v>
      </c>
      <c r="D1844" s="1002"/>
      <c r="E1844" s="1002"/>
      <c r="F1844" s="1002"/>
      <c r="G1844" s="389" t="s">
        <v>61</v>
      </c>
      <c r="H1844" s="339">
        <v>1.1000000000000001</v>
      </c>
      <c r="I1844" s="340"/>
      <c r="J1844" s="117"/>
      <c r="K1844" s="117"/>
      <c r="L1844" s="118"/>
      <c r="M1844" s="117"/>
      <c r="N1844" s="118">
        <f>9.0494+7.7906+5.703</f>
        <v>22.542999999999999</v>
      </c>
      <c r="O1844" s="119"/>
    </row>
    <row r="1845" spans="1:15" s="127" customFormat="1" ht="14.45" customHeight="1">
      <c r="A1845" s="337"/>
      <c r="B1845" s="337"/>
      <c r="C1845" s="1002" t="s">
        <v>2017</v>
      </c>
      <c r="D1845" s="1002"/>
      <c r="E1845" s="1002"/>
      <c r="F1845" s="1002"/>
      <c r="G1845" s="389" t="s">
        <v>61</v>
      </c>
      <c r="H1845" s="339">
        <v>1.1000000000000001</v>
      </c>
      <c r="I1845" s="340"/>
      <c r="J1845" s="117"/>
      <c r="K1845" s="117"/>
      <c r="L1845" s="118"/>
      <c r="M1845" s="117"/>
      <c r="N1845" s="118">
        <v>17.149999999999999</v>
      </c>
      <c r="O1845" s="119"/>
    </row>
    <row r="1846" spans="1:15" s="127" customFormat="1">
      <c r="A1846" s="337"/>
      <c r="B1846" s="337"/>
      <c r="C1846" s="1002" t="s">
        <v>2018</v>
      </c>
      <c r="D1846" s="1002"/>
      <c r="E1846" s="1002"/>
      <c r="F1846" s="1002"/>
      <c r="G1846" s="389" t="s">
        <v>61</v>
      </c>
      <c r="H1846" s="339">
        <v>1.1000000000000001</v>
      </c>
      <c r="I1846" s="340"/>
      <c r="J1846" s="117"/>
      <c r="K1846" s="117"/>
      <c r="L1846" s="118"/>
      <c r="M1846" s="117"/>
      <c r="N1846" s="118">
        <v>26.5349</v>
      </c>
      <c r="O1846" s="119"/>
    </row>
    <row r="1847" spans="1:15" s="127" customFormat="1">
      <c r="A1847" s="337"/>
      <c r="B1847" s="337"/>
      <c r="C1847" s="1002" t="s">
        <v>2019</v>
      </c>
      <c r="D1847" s="1002"/>
      <c r="E1847" s="1002"/>
      <c r="F1847" s="1002"/>
      <c r="G1847" s="389" t="s">
        <v>61</v>
      </c>
      <c r="H1847" s="339">
        <v>1.1000000000000001</v>
      </c>
      <c r="I1847" s="340"/>
      <c r="J1847" s="117"/>
      <c r="K1847" s="117"/>
      <c r="L1847" s="118"/>
      <c r="M1847" s="117"/>
      <c r="N1847" s="118">
        <v>340.32</v>
      </c>
      <c r="O1847" s="119"/>
    </row>
    <row r="1848" spans="1:15" ht="38.25" customHeight="1">
      <c r="A1848" s="470" t="s">
        <v>2020</v>
      </c>
      <c r="B1848" s="377" t="str">
        <f>ORÇAMENTO!C195</f>
        <v>11.03.05</v>
      </c>
      <c r="C1848" s="1003" t="str">
        <f>ORÇAMENTO!D195</f>
        <v>REVESTIMENTO CERÂMICO PARA PISO COM PLACAS TIPO PORCELANATO DE DIMENSÕES 60X60 CM APLICADA EM AMBIENTES DE ÁREA ENTRE 5 M² E 10 M². AF_02/2023_PE</v>
      </c>
      <c r="D1848" s="1003"/>
      <c r="E1848" s="1003"/>
      <c r="F1848" s="1003"/>
      <c r="G1848" s="377" t="s">
        <v>61</v>
      </c>
      <c r="H1848" s="377"/>
      <c r="I1848" s="379"/>
      <c r="J1848" s="379"/>
      <c r="K1848" s="379"/>
      <c r="L1848" s="379"/>
      <c r="M1848" s="379"/>
      <c r="N1848" s="380">
        <f>SUM(N1849:N1853)</f>
        <v>530.56320000000005</v>
      </c>
      <c r="O1848" s="379"/>
    </row>
    <row r="1849" spans="1:15" s="127" customFormat="1">
      <c r="A1849" s="337"/>
      <c r="B1849" s="337"/>
      <c r="C1849" s="1001" t="s">
        <v>2021</v>
      </c>
      <c r="D1849" s="1035"/>
      <c r="E1849" s="1035"/>
      <c r="F1849" s="1036"/>
      <c r="G1849" s="389" t="s">
        <v>61</v>
      </c>
      <c r="H1849" s="339"/>
      <c r="I1849" s="340"/>
      <c r="J1849" s="117"/>
      <c r="K1849" s="117"/>
      <c r="L1849" s="118"/>
      <c r="M1849" s="117"/>
      <c r="N1849" s="118">
        <v>124.0153</v>
      </c>
      <c r="O1849" s="119"/>
    </row>
    <row r="1850" spans="1:15" s="127" customFormat="1">
      <c r="A1850" s="337"/>
      <c r="B1850" s="337"/>
      <c r="C1850" s="1002" t="s">
        <v>2016</v>
      </c>
      <c r="D1850" s="1002"/>
      <c r="E1850" s="1002"/>
      <c r="F1850" s="1002"/>
      <c r="G1850" s="389" t="s">
        <v>61</v>
      </c>
      <c r="H1850" s="339">
        <v>1.1000000000000001</v>
      </c>
      <c r="I1850" s="340"/>
      <c r="J1850" s="117"/>
      <c r="K1850" s="117"/>
      <c r="L1850" s="118"/>
      <c r="M1850" s="117"/>
      <c r="N1850" s="118">
        <f>9.0494+7.7906+5.703</f>
        <v>22.542999999999999</v>
      </c>
      <c r="O1850" s="119"/>
    </row>
    <row r="1851" spans="1:15" s="127" customFormat="1">
      <c r="A1851" s="337"/>
      <c r="B1851" s="337"/>
      <c r="C1851" s="1002" t="s">
        <v>2017</v>
      </c>
      <c r="D1851" s="1002"/>
      <c r="E1851" s="1002"/>
      <c r="F1851" s="1002"/>
      <c r="G1851" s="389" t="s">
        <v>61</v>
      </c>
      <c r="H1851" s="339">
        <v>1.1000000000000001</v>
      </c>
      <c r="I1851" s="340"/>
      <c r="J1851" s="117"/>
      <c r="K1851" s="117"/>
      <c r="L1851" s="118"/>
      <c r="M1851" s="117"/>
      <c r="N1851" s="118">
        <v>17.149999999999999</v>
      </c>
      <c r="O1851" s="119"/>
    </row>
    <row r="1852" spans="1:15" s="127" customFormat="1">
      <c r="A1852" s="337"/>
      <c r="B1852" s="337"/>
      <c r="C1852" s="1002" t="s">
        <v>2018</v>
      </c>
      <c r="D1852" s="1002"/>
      <c r="E1852" s="1002"/>
      <c r="F1852" s="1002"/>
      <c r="G1852" s="389" t="s">
        <v>61</v>
      </c>
      <c r="H1852" s="339">
        <v>1.1000000000000001</v>
      </c>
      <c r="I1852" s="340"/>
      <c r="J1852" s="117"/>
      <c r="K1852" s="117"/>
      <c r="L1852" s="118"/>
      <c r="M1852" s="117"/>
      <c r="N1852" s="118">
        <v>26.5349</v>
      </c>
      <c r="O1852" s="119"/>
    </row>
    <row r="1853" spans="1:15" s="127" customFormat="1">
      <c r="A1853" s="337"/>
      <c r="B1853" s="337"/>
      <c r="C1853" s="1002" t="s">
        <v>2019</v>
      </c>
      <c r="D1853" s="1002"/>
      <c r="E1853" s="1002"/>
      <c r="F1853" s="1002"/>
      <c r="G1853" s="389" t="s">
        <v>61</v>
      </c>
      <c r="H1853" s="339">
        <v>1.1000000000000001</v>
      </c>
      <c r="I1853" s="340"/>
      <c r="J1853" s="117"/>
      <c r="K1853" s="117"/>
      <c r="L1853" s="118"/>
      <c r="M1853" s="117"/>
      <c r="N1853" s="118">
        <v>340.32</v>
      </c>
      <c r="O1853" s="119"/>
    </row>
    <row r="1854" spans="1:15" ht="38.25" customHeight="1">
      <c r="A1854" s="470" t="s">
        <v>407</v>
      </c>
      <c r="B1854" s="377" t="str">
        <f>ORÇAMENTO!C196</f>
        <v>11.03.06</v>
      </c>
      <c r="C1854" s="1003" t="str">
        <f>ORÇAMENTO!D196</f>
        <v>PISO EM GRANITO BRANCO SIENA, ESP= 2CM, APLICADO COM ARGAMASSA INDUSTRIALIZADA AC-II, REJUNTADO, EXCLUSIVE REGULARIZAÇÃO DE BASE</v>
      </c>
      <c r="D1854" s="1003"/>
      <c r="E1854" s="1003"/>
      <c r="F1854" s="1003"/>
      <c r="G1854" s="377" t="s">
        <v>61</v>
      </c>
      <c r="H1854" s="377"/>
      <c r="I1854" s="379"/>
      <c r="J1854" s="379"/>
      <c r="K1854" s="379"/>
      <c r="L1854" s="379"/>
      <c r="M1854" s="379"/>
      <c r="N1854" s="380">
        <f>SUM(N1855:N1874)</f>
        <v>17.968000000000007</v>
      </c>
      <c r="O1854" s="379"/>
    </row>
    <row r="1855" spans="1:15" s="127" customFormat="1">
      <c r="A1855" s="337"/>
      <c r="B1855" s="337"/>
      <c r="C1855" s="1002" t="s">
        <v>2022</v>
      </c>
      <c r="D1855" s="1002"/>
      <c r="E1855" s="1002"/>
      <c r="F1855" s="1002"/>
      <c r="G1855" s="389" t="s">
        <v>61</v>
      </c>
      <c r="H1855" s="339"/>
      <c r="I1855" s="340"/>
      <c r="J1855" s="117"/>
      <c r="K1855" s="117"/>
      <c r="L1855" s="118"/>
      <c r="M1855" s="117"/>
      <c r="N1855" s="118">
        <f>7.7+4.378</f>
        <v>12.077999999999999</v>
      </c>
      <c r="O1855" s="119"/>
    </row>
    <row r="1856" spans="1:15" s="127" customFormat="1">
      <c r="A1856" s="337"/>
      <c r="B1856" s="337"/>
      <c r="C1856" s="1006" t="s">
        <v>2023</v>
      </c>
      <c r="D1856" s="1006"/>
      <c r="E1856" s="1006"/>
      <c r="F1856" s="1006"/>
      <c r="G1856" s="389"/>
      <c r="H1856" s="339"/>
      <c r="I1856" s="340"/>
      <c r="J1856" s="117"/>
      <c r="K1856" s="117"/>
      <c r="L1856" s="118"/>
      <c r="M1856" s="117"/>
      <c r="N1856" s="118"/>
      <c r="O1856" s="119"/>
    </row>
    <row r="1857" spans="1:15" s="127" customFormat="1">
      <c r="A1857" s="337"/>
      <c r="B1857" s="337"/>
      <c r="C1857" s="1002" t="s">
        <v>1814</v>
      </c>
      <c r="D1857" s="1002"/>
      <c r="E1857" s="1002"/>
      <c r="F1857" s="1002"/>
      <c r="G1857" s="389" t="s">
        <v>61</v>
      </c>
      <c r="H1857" s="339"/>
      <c r="I1857" s="340"/>
      <c r="J1857" s="117"/>
      <c r="K1857" s="117"/>
      <c r="L1857" s="118"/>
      <c r="M1857" s="117"/>
      <c r="N1857" s="118">
        <v>0.13200000000000001</v>
      </c>
      <c r="O1857" s="119"/>
    </row>
    <row r="1858" spans="1:15" s="127" customFormat="1">
      <c r="A1858" s="337"/>
      <c r="B1858" s="337"/>
      <c r="C1858" s="1002" t="s">
        <v>1815</v>
      </c>
      <c r="D1858" s="1002"/>
      <c r="E1858" s="1002"/>
      <c r="F1858" s="1002"/>
      <c r="G1858" s="389" t="s">
        <v>61</v>
      </c>
      <c r="H1858" s="339"/>
      <c r="I1858" s="340"/>
      <c r="J1858" s="117"/>
      <c r="K1858" s="117"/>
      <c r="L1858" s="118"/>
      <c r="M1858" s="117"/>
      <c r="N1858" s="118">
        <v>0.13200000000000001</v>
      </c>
      <c r="O1858" s="119"/>
    </row>
    <row r="1859" spans="1:15" s="127" customFormat="1">
      <c r="A1859" s="337"/>
      <c r="B1859" s="337"/>
      <c r="C1859" s="1002" t="s">
        <v>1816</v>
      </c>
      <c r="D1859" s="1002"/>
      <c r="E1859" s="1002"/>
      <c r="F1859" s="1002"/>
      <c r="G1859" s="389" t="s">
        <v>61</v>
      </c>
      <c r="H1859" s="339"/>
      <c r="I1859" s="340"/>
      <c r="J1859" s="117"/>
      <c r="K1859" s="117"/>
      <c r="L1859" s="118"/>
      <c r="M1859" s="117"/>
      <c r="N1859" s="118">
        <v>0.11700000000000001</v>
      </c>
      <c r="O1859" s="119"/>
    </row>
    <row r="1860" spans="1:15" s="127" customFormat="1">
      <c r="A1860" s="337"/>
      <c r="B1860" s="337"/>
      <c r="C1860" s="1002" t="s">
        <v>1817</v>
      </c>
      <c r="D1860" s="1002"/>
      <c r="E1860" s="1002"/>
      <c r="F1860" s="1002"/>
      <c r="G1860" s="389" t="s">
        <v>61</v>
      </c>
      <c r="H1860" s="339"/>
      <c r="I1860" s="340"/>
      <c r="J1860" s="117"/>
      <c r="K1860" s="117"/>
      <c r="L1860" s="118"/>
      <c r="M1860" s="117"/>
      <c r="N1860" s="118">
        <v>0.11700000000000001</v>
      </c>
      <c r="O1860" s="119"/>
    </row>
    <row r="1861" spans="1:15" s="127" customFormat="1">
      <c r="A1861" s="337"/>
      <c r="B1861" s="337"/>
      <c r="C1861" s="1002" t="s">
        <v>1819</v>
      </c>
      <c r="D1861" s="1002"/>
      <c r="E1861" s="1002"/>
      <c r="F1861" s="1002"/>
      <c r="G1861" s="389" t="s">
        <v>61</v>
      </c>
      <c r="H1861" s="339"/>
      <c r="I1861" s="340"/>
      <c r="J1861" s="117"/>
      <c r="K1861" s="117"/>
      <c r="L1861" s="118"/>
      <c r="M1861" s="117"/>
      <c r="N1861" s="118">
        <v>0.11700000000000001</v>
      </c>
      <c r="O1861" s="119"/>
    </row>
    <row r="1862" spans="1:15" s="127" customFormat="1">
      <c r="A1862" s="337"/>
      <c r="B1862" s="337"/>
      <c r="C1862" s="1002" t="s">
        <v>1820</v>
      </c>
      <c r="D1862" s="1002"/>
      <c r="E1862" s="1002"/>
      <c r="F1862" s="1002"/>
      <c r="G1862" s="389" t="s">
        <v>61</v>
      </c>
      <c r="H1862" s="339"/>
      <c r="I1862" s="340"/>
      <c r="J1862" s="117"/>
      <c r="K1862" s="117"/>
      <c r="L1862" s="118"/>
      <c r="M1862" s="117"/>
      <c r="N1862" s="118">
        <v>0.3</v>
      </c>
      <c r="O1862" s="119"/>
    </row>
    <row r="1863" spans="1:15" s="127" customFormat="1">
      <c r="A1863" s="337"/>
      <c r="B1863" s="337"/>
      <c r="C1863" s="1002" t="s">
        <v>1979</v>
      </c>
      <c r="D1863" s="1002"/>
      <c r="E1863" s="1002"/>
      <c r="F1863" s="1002"/>
      <c r="G1863" s="389" t="s">
        <v>61</v>
      </c>
      <c r="H1863" s="339"/>
      <c r="I1863" s="340"/>
      <c r="J1863" s="117"/>
      <c r="K1863" s="117"/>
      <c r="L1863" s="118"/>
      <c r="M1863" s="117"/>
      <c r="N1863" s="118">
        <v>0.11700000000000001</v>
      </c>
      <c r="O1863" s="119"/>
    </row>
    <row r="1864" spans="1:15" s="127" customFormat="1">
      <c r="A1864" s="337"/>
      <c r="B1864" s="337"/>
      <c r="C1864" s="1002" t="s">
        <v>1826</v>
      </c>
      <c r="D1864" s="1002"/>
      <c r="E1864" s="1002"/>
      <c r="F1864" s="1002"/>
      <c r="G1864" s="389" t="s">
        <v>61</v>
      </c>
      <c r="H1864" s="339"/>
      <c r="I1864" s="340"/>
      <c r="J1864" s="117"/>
      <c r="K1864" s="117"/>
      <c r="L1864" s="118"/>
      <c r="M1864" s="117"/>
      <c r="N1864" s="118">
        <v>0.125</v>
      </c>
      <c r="O1864" s="119"/>
    </row>
    <row r="1865" spans="1:15" s="127" customFormat="1">
      <c r="A1865" s="337"/>
      <c r="B1865" s="337"/>
      <c r="C1865" s="1002" t="s">
        <v>2024</v>
      </c>
      <c r="D1865" s="1002"/>
      <c r="E1865" s="1002"/>
      <c r="F1865" s="1002"/>
      <c r="G1865" s="389" t="s">
        <v>61</v>
      </c>
      <c r="H1865" s="339"/>
      <c r="I1865" s="340"/>
      <c r="J1865" s="117"/>
      <c r="K1865" s="117"/>
      <c r="L1865" s="118"/>
      <c r="M1865" s="117"/>
      <c r="N1865" s="118">
        <f>0.264+0.129</f>
        <v>0.39300000000000002</v>
      </c>
      <c r="O1865" s="119"/>
    </row>
    <row r="1866" spans="1:15" s="127" customFormat="1">
      <c r="A1866" s="337"/>
      <c r="B1866" s="337"/>
      <c r="C1866" s="1002" t="s">
        <v>2002</v>
      </c>
      <c r="D1866" s="1002"/>
      <c r="E1866" s="1002"/>
      <c r="F1866" s="1002"/>
      <c r="G1866" s="389" t="s">
        <v>61</v>
      </c>
      <c r="H1866" s="339"/>
      <c r="I1866" s="340"/>
      <c r="J1866" s="117"/>
      <c r="K1866" s="117"/>
      <c r="L1866" s="118"/>
      <c r="M1866" s="117"/>
      <c r="N1866" s="118">
        <v>0.25219999999999998</v>
      </c>
      <c r="O1866" s="119"/>
    </row>
    <row r="1867" spans="1:15" s="127" customFormat="1">
      <c r="A1867" s="337"/>
      <c r="B1867" s="337"/>
      <c r="C1867" s="1002" t="s">
        <v>1832</v>
      </c>
      <c r="D1867" s="1002"/>
      <c r="E1867" s="1002"/>
      <c r="F1867" s="1002"/>
      <c r="G1867" s="389" t="s">
        <v>61</v>
      </c>
      <c r="H1867" s="339"/>
      <c r="I1867" s="340"/>
      <c r="J1867" s="117"/>
      <c r="K1867" s="117"/>
      <c r="L1867" s="118"/>
      <c r="M1867" s="117"/>
      <c r="N1867" s="118">
        <v>0.11700000000000001</v>
      </c>
      <c r="O1867" s="119"/>
    </row>
    <row r="1868" spans="1:15" s="127" customFormat="1">
      <c r="A1868" s="337"/>
      <c r="B1868" s="337"/>
      <c r="C1868" s="1002" t="s">
        <v>1833</v>
      </c>
      <c r="D1868" s="1002"/>
      <c r="E1868" s="1002"/>
      <c r="F1868" s="1002"/>
      <c r="G1868" s="389" t="s">
        <v>61</v>
      </c>
      <c r="H1868" s="339"/>
      <c r="I1868" s="340"/>
      <c r="J1868" s="117"/>
      <c r="K1868" s="117"/>
      <c r="L1868" s="118"/>
      <c r="M1868" s="117"/>
      <c r="N1868" s="118">
        <v>0.11700000000000001</v>
      </c>
      <c r="O1868" s="119"/>
    </row>
    <row r="1869" spans="1:15" s="127" customFormat="1">
      <c r="A1869" s="337"/>
      <c r="B1869" s="337"/>
      <c r="C1869" s="1002" t="s">
        <v>1835</v>
      </c>
      <c r="D1869" s="1002"/>
      <c r="E1869" s="1002"/>
      <c r="F1869" s="1002"/>
      <c r="G1869" s="389" t="s">
        <v>61</v>
      </c>
      <c r="H1869" s="339"/>
      <c r="I1869" s="340"/>
      <c r="J1869" s="117"/>
      <c r="K1869" s="117"/>
      <c r="L1869" s="118"/>
      <c r="M1869" s="117"/>
      <c r="N1869" s="118">
        <v>0.13200000000000001</v>
      </c>
      <c r="O1869" s="119"/>
    </row>
    <row r="1870" spans="1:15" s="127" customFormat="1">
      <c r="A1870" s="337"/>
      <c r="B1870" s="337"/>
      <c r="C1870" s="1002" t="s">
        <v>1834</v>
      </c>
      <c r="D1870" s="1002"/>
      <c r="E1870" s="1002"/>
      <c r="F1870" s="1002"/>
      <c r="G1870" s="389" t="s">
        <v>61</v>
      </c>
      <c r="H1870" s="339"/>
      <c r="I1870" s="340"/>
      <c r="J1870" s="117"/>
      <c r="K1870" s="117"/>
      <c r="L1870" s="118"/>
      <c r="M1870" s="117"/>
      <c r="N1870" s="118">
        <v>0.13200000000000001</v>
      </c>
      <c r="O1870" s="119"/>
    </row>
    <row r="1871" spans="1:15" s="127" customFormat="1">
      <c r="A1871" s="337"/>
      <c r="B1871" s="337"/>
      <c r="C1871" s="1002" t="s">
        <v>1841</v>
      </c>
      <c r="D1871" s="1002"/>
      <c r="E1871" s="1002"/>
      <c r="F1871" s="1002"/>
      <c r="G1871" s="389" t="s">
        <v>61</v>
      </c>
      <c r="H1871" s="339"/>
      <c r="I1871" s="340"/>
      <c r="J1871" s="117"/>
      <c r="K1871" s="117"/>
      <c r="L1871" s="118"/>
      <c r="M1871" s="117"/>
      <c r="N1871" s="118">
        <f>0.3619+1.7805+1.0964</f>
        <v>3.2387999999999999</v>
      </c>
      <c r="O1871" s="119"/>
    </row>
    <row r="1872" spans="1:15" s="127" customFormat="1">
      <c r="A1872" s="337"/>
      <c r="B1872" s="337"/>
      <c r="C1872" s="1002" t="s">
        <v>1978</v>
      </c>
      <c r="D1872" s="1002"/>
      <c r="E1872" s="1002"/>
      <c r="F1872" s="1002"/>
      <c r="G1872" s="389" t="s">
        <v>61</v>
      </c>
      <c r="H1872" s="339"/>
      <c r="I1872" s="340"/>
      <c r="J1872" s="117"/>
      <c r="K1872" s="117"/>
      <c r="L1872" s="118"/>
      <c r="M1872" s="117"/>
      <c r="N1872" s="118">
        <v>0.11700000000000001</v>
      </c>
      <c r="O1872" s="119"/>
    </row>
    <row r="1873" spans="1:15" s="127" customFormat="1">
      <c r="A1873" s="337"/>
      <c r="B1873" s="337"/>
      <c r="C1873" s="1002" t="s">
        <v>1840</v>
      </c>
      <c r="D1873" s="1002"/>
      <c r="E1873" s="1002"/>
      <c r="F1873" s="1002"/>
      <c r="G1873" s="389" t="s">
        <v>61</v>
      </c>
      <c r="H1873" s="339"/>
      <c r="I1873" s="340"/>
      <c r="J1873" s="117"/>
      <c r="K1873" s="117"/>
      <c r="L1873" s="118"/>
      <c r="M1873" s="117"/>
      <c r="N1873" s="118">
        <v>0.11700000000000001</v>
      </c>
      <c r="O1873" s="119"/>
    </row>
    <row r="1874" spans="1:15" s="127" customFormat="1">
      <c r="A1874" s="337"/>
      <c r="B1874" s="337"/>
      <c r="C1874" s="1002" t="s">
        <v>1979</v>
      </c>
      <c r="D1874" s="1002"/>
      <c r="E1874" s="1002"/>
      <c r="F1874" s="1002"/>
      <c r="G1874" s="389" t="s">
        <v>61</v>
      </c>
      <c r="H1874" s="339"/>
      <c r="I1874" s="340"/>
      <c r="J1874" s="117"/>
      <c r="K1874" s="117"/>
      <c r="L1874" s="118"/>
      <c r="M1874" s="117"/>
      <c r="N1874" s="118">
        <v>0.11700000000000001</v>
      </c>
      <c r="O1874" s="119"/>
    </row>
    <row r="1875" spans="1:15" ht="12.75" customHeight="1">
      <c r="A1875" s="373" t="s">
        <v>11</v>
      </c>
      <c r="B1875" s="375" t="s">
        <v>13</v>
      </c>
      <c r="C1875" s="1007" t="s">
        <v>1443</v>
      </c>
      <c r="D1875" s="1007"/>
      <c r="E1875" s="1007"/>
      <c r="F1875" s="1007"/>
      <c r="G1875" s="375" t="s">
        <v>15</v>
      </c>
      <c r="H1875" s="375" t="s">
        <v>1444</v>
      </c>
      <c r="I1875" s="375" t="s">
        <v>1445</v>
      </c>
      <c r="J1875" s="375" t="s">
        <v>1446</v>
      </c>
      <c r="K1875" s="375" t="s">
        <v>1447</v>
      </c>
      <c r="L1875" s="375" t="s">
        <v>1448</v>
      </c>
      <c r="M1875" s="375" t="s">
        <v>1457</v>
      </c>
      <c r="N1875" s="375" t="s">
        <v>1450</v>
      </c>
      <c r="O1875" s="375" t="s">
        <v>1451</v>
      </c>
    </row>
    <row r="1876" spans="1:15">
      <c r="A1876" s="376"/>
      <c r="B1876" s="376" t="str">
        <f>ORÇAMENTO!C197</f>
        <v>12.00</v>
      </c>
      <c r="C1876" s="1008" t="str">
        <f>ORÇAMENTO!D197</f>
        <v>PINTURAS</v>
      </c>
      <c r="D1876" s="1008"/>
      <c r="E1876" s="1008"/>
      <c r="F1876" s="1008"/>
      <c r="G1876" s="1039"/>
      <c r="H1876" s="1039"/>
      <c r="I1876" s="1039"/>
      <c r="J1876" s="1039"/>
      <c r="K1876" s="1039"/>
      <c r="L1876" s="1039"/>
      <c r="M1876" s="1039"/>
      <c r="N1876" s="1039"/>
      <c r="O1876" s="1039"/>
    </row>
    <row r="1877" spans="1:15" ht="34.5" customHeight="1">
      <c r="A1877" s="377">
        <f>ORÇAMENTO!A198</f>
        <v>8624</v>
      </c>
      <c r="B1877" s="383" t="str">
        <f>ORÇAMENTO!C198</f>
        <v>12.01</v>
      </c>
      <c r="C1877" s="1003" t="str">
        <f>ORÇAMENTO!D198</f>
        <v>EMASSAMENTO DE SUPERFÍCIE, COM APLICAÇÃO DE 02 DEMÃOS DE MASSA ACRÍLICA, LIXAMENTO E RETOQUES - REV 01</v>
      </c>
      <c r="D1877" s="1003"/>
      <c r="E1877" s="1003"/>
      <c r="F1877" s="1003"/>
      <c r="G1877" s="425" t="str">
        <f>ORÇAMENTO!E198</f>
        <v>M²</v>
      </c>
      <c r="H1877" s="383"/>
      <c r="I1877" s="380"/>
      <c r="J1877" s="380"/>
      <c r="K1877" s="115"/>
      <c r="L1877" s="115"/>
      <c r="M1877" s="115"/>
      <c r="N1877" s="116">
        <f>SUM(N1878:N1904)</f>
        <v>1452.8148799999999</v>
      </c>
      <c r="O1877" s="116"/>
    </row>
    <row r="1878" spans="1:15" s="127" customFormat="1">
      <c r="A1878" s="337"/>
      <c r="B1878" s="337"/>
      <c r="C1878" s="1005" t="s">
        <v>1976</v>
      </c>
      <c r="D1878" s="1005"/>
      <c r="E1878" s="1005"/>
      <c r="F1878" s="1005"/>
      <c r="G1878" s="338"/>
      <c r="H1878" s="443"/>
      <c r="I1878" s="340"/>
      <c r="J1878" s="340"/>
      <c r="K1878" s="340"/>
      <c r="L1878" s="382"/>
      <c r="M1878" s="382"/>
      <c r="N1878" s="457"/>
      <c r="O1878" s="119"/>
    </row>
    <row r="1879" spans="1:15" s="127" customFormat="1">
      <c r="A1879" s="337"/>
      <c r="B1879" s="337"/>
      <c r="C1879" s="1001" t="s">
        <v>1836</v>
      </c>
      <c r="D1879" s="1001"/>
      <c r="E1879" s="1001"/>
      <c r="F1879" s="1001"/>
      <c r="G1879" s="343" t="s">
        <v>61</v>
      </c>
      <c r="H1879" s="443"/>
      <c r="I1879" s="340"/>
      <c r="J1879" s="340"/>
      <c r="K1879" s="340">
        <v>2.8</v>
      </c>
      <c r="L1879" s="382">
        <v>16.600000000000001</v>
      </c>
      <c r="M1879" s="382">
        <f>(0.8*2.1)+(1.46*1.5)+(1.8*1.5)</f>
        <v>6.57</v>
      </c>
      <c r="N1879" s="457">
        <f t="shared" ref="N1879:N1904" si="69">(L1879*K1879)</f>
        <v>46.480000000000004</v>
      </c>
      <c r="O1879" s="119"/>
    </row>
    <row r="1880" spans="1:15" s="127" customFormat="1">
      <c r="A1880" s="337"/>
      <c r="B1880" s="337"/>
      <c r="C1880" s="1001" t="s">
        <v>1837</v>
      </c>
      <c r="D1880" s="1001"/>
      <c r="E1880" s="1001"/>
      <c r="F1880" s="1001"/>
      <c r="G1880" s="343" t="s">
        <v>61</v>
      </c>
      <c r="H1880" s="443"/>
      <c r="I1880" s="340"/>
      <c r="J1880" s="340"/>
      <c r="K1880" s="340">
        <v>2.8</v>
      </c>
      <c r="L1880" s="382">
        <v>15.3</v>
      </c>
      <c r="M1880" s="382">
        <f>(1.46*1.5)+(0.8*2.13)</f>
        <v>3.8940000000000001</v>
      </c>
      <c r="N1880" s="457">
        <f t="shared" si="69"/>
        <v>42.839999999999996</v>
      </c>
      <c r="O1880" s="119"/>
    </row>
    <row r="1881" spans="1:15" s="127" customFormat="1">
      <c r="A1881" s="337"/>
      <c r="B1881" s="337"/>
      <c r="C1881" s="1001" t="s">
        <v>1977</v>
      </c>
      <c r="D1881" s="1001"/>
      <c r="E1881" s="1001"/>
      <c r="F1881" s="1001"/>
      <c r="G1881" s="343" t="s">
        <v>61</v>
      </c>
      <c r="H1881" s="443"/>
      <c r="I1881" s="340"/>
      <c r="J1881" s="340"/>
      <c r="K1881" s="340">
        <v>2.8</v>
      </c>
      <c r="L1881" s="382">
        <v>17</v>
      </c>
      <c r="M1881" s="382">
        <f>(1.46*1.5)+(0.8*2.1)+(0.7*2.1)</f>
        <v>5.34</v>
      </c>
      <c r="N1881" s="457">
        <f t="shared" si="69"/>
        <v>47.599999999999994</v>
      </c>
      <c r="O1881" s="119"/>
    </row>
    <row r="1882" spans="1:15" s="127" customFormat="1">
      <c r="A1882" s="337"/>
      <c r="B1882" s="337"/>
      <c r="C1882" s="1001" t="s">
        <v>1839</v>
      </c>
      <c r="D1882" s="1001"/>
      <c r="E1882" s="1001"/>
      <c r="F1882" s="1001"/>
      <c r="G1882" s="343" t="s">
        <v>61</v>
      </c>
      <c r="H1882" s="443"/>
      <c r="I1882" s="340"/>
      <c r="J1882" s="340"/>
      <c r="K1882" s="340">
        <v>2.8</v>
      </c>
      <c r="L1882" s="382">
        <v>17.001100000000001</v>
      </c>
      <c r="M1882" s="382">
        <f>(1.46*1.5)+(0.8*2.1)+(0.7*2.1)</f>
        <v>5.34</v>
      </c>
      <c r="N1882" s="457">
        <f t="shared" si="69"/>
        <v>47.603079999999999</v>
      </c>
      <c r="O1882" s="119"/>
    </row>
    <row r="1883" spans="1:15" s="127" customFormat="1">
      <c r="A1883" s="337"/>
      <c r="B1883" s="337"/>
      <c r="C1883" s="1001" t="s">
        <v>1841</v>
      </c>
      <c r="D1883" s="1001"/>
      <c r="E1883" s="1001"/>
      <c r="F1883" s="1001"/>
      <c r="G1883" s="343" t="s">
        <v>61</v>
      </c>
      <c r="H1883" s="443"/>
      <c r="I1883" s="340"/>
      <c r="J1883" s="340"/>
      <c r="K1883" s="340">
        <f>4-1.8</f>
        <v>2.2000000000000002</v>
      </c>
      <c r="L1883" s="382">
        <v>66.2</v>
      </c>
      <c r="M1883" s="382">
        <f>(2.75*2.5)+(9.6*4)+(2.4*4)+(1.8*1.5)+(0.8*2.1)*8+(0.8*2.13)+(3.05*4)+(1.91*1.5)*2</f>
        <v>90.649000000000001</v>
      </c>
      <c r="N1883" s="457">
        <f t="shared" si="69"/>
        <v>145.64000000000001</v>
      </c>
      <c r="O1883" s="119"/>
    </row>
    <row r="1884" spans="1:15" s="127" customFormat="1">
      <c r="A1884" s="337"/>
      <c r="B1884" s="337"/>
      <c r="C1884" s="1001" t="s">
        <v>1825</v>
      </c>
      <c r="D1884" s="1001"/>
      <c r="E1884" s="1001"/>
      <c r="F1884" s="1001"/>
      <c r="G1884" s="343" t="s">
        <v>61</v>
      </c>
      <c r="H1884" s="443"/>
      <c r="I1884" s="340"/>
      <c r="J1884" s="340"/>
      <c r="K1884" s="340">
        <v>2.8</v>
      </c>
      <c r="L1884" s="382">
        <v>19.7</v>
      </c>
      <c r="M1884" s="382">
        <f>2*(0.8*2.1)+(1.46*1.5)</f>
        <v>5.5500000000000007</v>
      </c>
      <c r="N1884" s="457">
        <f t="shared" si="69"/>
        <v>55.16</v>
      </c>
      <c r="O1884" s="119"/>
    </row>
    <row r="1885" spans="1:15" s="127" customFormat="1">
      <c r="A1885" s="337"/>
      <c r="B1885" s="337"/>
      <c r="C1885" s="1001" t="s">
        <v>1824</v>
      </c>
      <c r="D1885" s="1001"/>
      <c r="E1885" s="1001"/>
      <c r="F1885" s="1001"/>
      <c r="G1885" s="343" t="s">
        <v>61</v>
      </c>
      <c r="H1885" s="443"/>
      <c r="I1885" s="340"/>
      <c r="J1885" s="340"/>
      <c r="K1885" s="340">
        <v>2.8</v>
      </c>
      <c r="L1885" s="382">
        <v>17.64</v>
      </c>
      <c r="M1885" s="382">
        <f>2*(1.46*1.5)+(0.8*2.1)</f>
        <v>6.0600000000000005</v>
      </c>
      <c r="N1885" s="457">
        <f t="shared" si="69"/>
        <v>49.391999999999996</v>
      </c>
      <c r="O1885" s="119"/>
    </row>
    <row r="1886" spans="1:15" s="127" customFormat="1">
      <c r="A1886" s="337"/>
      <c r="B1886" s="337"/>
      <c r="C1886" s="1001" t="s">
        <v>1830</v>
      </c>
      <c r="D1886" s="1001"/>
      <c r="E1886" s="1001"/>
      <c r="F1886" s="1001"/>
      <c r="G1886" s="343" t="s">
        <v>61</v>
      </c>
      <c r="H1886" s="443"/>
      <c r="I1886" s="340"/>
      <c r="J1886" s="340"/>
      <c r="K1886" s="340">
        <v>2.8</v>
      </c>
      <c r="L1886" s="382">
        <v>20.58</v>
      </c>
      <c r="M1886" s="382">
        <f>6*(0.8*2.1)</f>
        <v>10.080000000000002</v>
      </c>
      <c r="N1886" s="457">
        <f t="shared" si="69"/>
        <v>57.623999999999988</v>
      </c>
      <c r="O1886" s="119"/>
    </row>
    <row r="1887" spans="1:15" s="127" customFormat="1">
      <c r="A1887" s="337"/>
      <c r="B1887" s="337"/>
      <c r="C1887" s="1001" t="s">
        <v>1822</v>
      </c>
      <c r="D1887" s="1001"/>
      <c r="E1887" s="1001"/>
      <c r="F1887" s="1001"/>
      <c r="G1887" s="343" t="s">
        <v>61</v>
      </c>
      <c r="H1887" s="443"/>
      <c r="I1887" s="340"/>
      <c r="J1887" s="340"/>
      <c r="K1887" s="340">
        <v>2.8</v>
      </c>
      <c r="L1887" s="382">
        <v>20.677499999999998</v>
      </c>
      <c r="M1887" s="382">
        <f>2*(1.46*1.5)+(0.8*2.1)+(0.7*2.1)</f>
        <v>7.53</v>
      </c>
      <c r="N1887" s="457">
        <f t="shared" si="69"/>
        <v>57.896999999999991</v>
      </c>
      <c r="O1887" s="119"/>
    </row>
    <row r="1888" spans="1:15" s="127" customFormat="1">
      <c r="A1888" s="337"/>
      <c r="B1888" s="337"/>
      <c r="C1888" s="1001" t="s">
        <v>1842</v>
      </c>
      <c r="D1888" s="1001"/>
      <c r="E1888" s="1001"/>
      <c r="F1888" s="1001"/>
      <c r="G1888" s="343" t="s">
        <v>61</v>
      </c>
      <c r="H1888" s="443"/>
      <c r="I1888" s="340"/>
      <c r="J1888" s="340"/>
      <c r="K1888" s="340">
        <v>2.8</v>
      </c>
      <c r="L1888" s="459">
        <v>27.7</v>
      </c>
      <c r="M1888" s="459">
        <f>(0.8*2.1)+(1*1)+(3.5*1.9)</f>
        <v>9.33</v>
      </c>
      <c r="N1888" s="457">
        <f t="shared" si="69"/>
        <v>77.559999999999988</v>
      </c>
      <c r="O1888" s="119"/>
    </row>
    <row r="1889" spans="1:15" s="127" customFormat="1">
      <c r="A1889" s="337"/>
      <c r="B1889" s="337"/>
      <c r="C1889" s="1001" t="s">
        <v>1843</v>
      </c>
      <c r="D1889" s="1001"/>
      <c r="E1889" s="1001"/>
      <c r="F1889" s="1001"/>
      <c r="G1889" s="343" t="s">
        <v>61</v>
      </c>
      <c r="H1889" s="443"/>
      <c r="I1889" s="340"/>
      <c r="J1889" s="340"/>
      <c r="K1889" s="340">
        <v>2.8</v>
      </c>
      <c r="L1889" s="459">
        <v>8.92</v>
      </c>
      <c r="M1889" s="459">
        <f>2*(0.8*2.1)+(1*1)+(1.91*1.5)</f>
        <v>7.2249999999999996</v>
      </c>
      <c r="N1889" s="457">
        <f t="shared" si="69"/>
        <v>24.975999999999999</v>
      </c>
      <c r="O1889" s="119"/>
    </row>
    <row r="1890" spans="1:15" s="127" customFormat="1">
      <c r="A1890" s="337"/>
      <c r="B1890" s="337"/>
      <c r="C1890" s="1001" t="s">
        <v>1818</v>
      </c>
      <c r="D1890" s="1001"/>
      <c r="E1890" s="1001"/>
      <c r="F1890" s="1001"/>
      <c r="G1890" s="343" t="s">
        <v>61</v>
      </c>
      <c r="H1890" s="443"/>
      <c r="I1890" s="340"/>
      <c r="J1890" s="340"/>
      <c r="K1890" s="340">
        <v>2.8</v>
      </c>
      <c r="L1890" s="459">
        <v>6.2</v>
      </c>
      <c r="M1890" s="123">
        <f>2*(0.7*2.1)</f>
        <v>2.94</v>
      </c>
      <c r="N1890" s="457">
        <f t="shared" si="69"/>
        <v>17.36</v>
      </c>
      <c r="O1890" s="119"/>
    </row>
    <row r="1891" spans="1:15" s="127" customFormat="1">
      <c r="A1891" s="337"/>
      <c r="B1891" s="337"/>
      <c r="C1891" s="1001" t="s">
        <v>1820</v>
      </c>
      <c r="D1891" s="1001"/>
      <c r="E1891" s="1001"/>
      <c r="F1891" s="1001"/>
      <c r="G1891" s="343" t="s">
        <v>61</v>
      </c>
      <c r="H1891" s="443"/>
      <c r="I1891" s="340"/>
      <c r="J1891" s="340"/>
      <c r="K1891" s="340">
        <v>2.8</v>
      </c>
      <c r="L1891" s="459">
        <v>18.18</v>
      </c>
      <c r="M1891" s="123">
        <f>2*(2*0.5)+(0.8*2.1)+(1.6*2.1)</f>
        <v>7.0400000000000009</v>
      </c>
      <c r="N1891" s="457">
        <f t="shared" si="69"/>
        <v>50.903999999999996</v>
      </c>
      <c r="O1891" s="119"/>
    </row>
    <row r="1892" spans="1:15" s="127" customFormat="1">
      <c r="A1892" s="337"/>
      <c r="B1892" s="337"/>
      <c r="C1892" s="1001" t="s">
        <v>1821</v>
      </c>
      <c r="D1892" s="1001"/>
      <c r="E1892" s="1001"/>
      <c r="F1892" s="1001"/>
      <c r="G1892" s="343" t="s">
        <v>61</v>
      </c>
      <c r="H1892" s="443"/>
      <c r="I1892" s="340"/>
      <c r="J1892" s="340"/>
      <c r="K1892" s="340">
        <v>2.8</v>
      </c>
      <c r="L1892" s="459">
        <v>15.68</v>
      </c>
      <c r="M1892" s="123">
        <f>(0.8*2.1)+(2*0.5)</f>
        <v>2.68</v>
      </c>
      <c r="N1892" s="457">
        <f t="shared" si="69"/>
        <v>43.903999999999996</v>
      </c>
      <c r="O1892" s="119"/>
    </row>
    <row r="1893" spans="1:15" s="127" customFormat="1">
      <c r="A1893" s="337"/>
      <c r="B1893" s="337"/>
      <c r="C1893" s="1001" t="s">
        <v>1822</v>
      </c>
      <c r="D1893" s="1001"/>
      <c r="E1893" s="1001"/>
      <c r="F1893" s="1001"/>
      <c r="G1893" s="343" t="s">
        <v>61</v>
      </c>
      <c r="H1893" s="443"/>
      <c r="I1893" s="340"/>
      <c r="J1893" s="340"/>
      <c r="K1893" s="340">
        <v>2.8</v>
      </c>
      <c r="L1893" s="459">
        <v>20.68</v>
      </c>
      <c r="M1893" s="123">
        <f>2*(1.46*1.5)+(0.8*2.1)+(0.7*2.1)</f>
        <v>7.53</v>
      </c>
      <c r="N1893" s="457">
        <f t="shared" si="69"/>
        <v>57.903999999999996</v>
      </c>
      <c r="O1893" s="119"/>
    </row>
    <row r="1894" spans="1:15" s="127" customFormat="1">
      <c r="A1894" s="337"/>
      <c r="B1894" s="337"/>
      <c r="C1894" s="1001" t="s">
        <v>1842</v>
      </c>
      <c r="D1894" s="1001"/>
      <c r="E1894" s="1001"/>
      <c r="F1894" s="1001"/>
      <c r="G1894" s="343" t="s">
        <v>61</v>
      </c>
      <c r="H1894" s="443"/>
      <c r="I1894" s="340"/>
      <c r="J1894" s="340"/>
      <c r="K1894" s="340">
        <v>2.8</v>
      </c>
      <c r="L1894" s="459">
        <v>27.7</v>
      </c>
      <c r="M1894" s="587">
        <f>(3.5*1.9)+(1*1)+(0.8*2.1)</f>
        <v>9.33</v>
      </c>
      <c r="N1894" s="457">
        <f t="shared" si="69"/>
        <v>77.559999999999988</v>
      </c>
      <c r="O1894" s="119"/>
    </row>
    <row r="1895" spans="1:15" s="127" customFormat="1">
      <c r="A1895" s="337"/>
      <c r="B1895" s="337"/>
      <c r="C1895" s="1001" t="s">
        <v>1843</v>
      </c>
      <c r="D1895" s="1001"/>
      <c r="E1895" s="1001"/>
      <c r="F1895" s="1001"/>
      <c r="G1895" s="343" t="s">
        <v>61</v>
      </c>
      <c r="H1895" s="443"/>
      <c r="I1895" s="340"/>
      <c r="J1895" s="340"/>
      <c r="K1895" s="340">
        <v>2.8</v>
      </c>
      <c r="L1895" s="459">
        <v>8.92</v>
      </c>
      <c r="M1895" s="587">
        <f>2*(2.1*0.8)+(1.91*1.5)+(1*1)</f>
        <v>7.2249999999999996</v>
      </c>
      <c r="N1895" s="457">
        <f t="shared" si="69"/>
        <v>24.975999999999999</v>
      </c>
      <c r="O1895" s="119"/>
    </row>
    <row r="1896" spans="1:15" s="127" customFormat="1">
      <c r="A1896" s="337"/>
      <c r="B1896" s="337"/>
      <c r="C1896" s="1001" t="s">
        <v>1830</v>
      </c>
      <c r="D1896" s="1001"/>
      <c r="E1896" s="1001"/>
      <c r="F1896" s="1001"/>
      <c r="G1896" s="343" t="s">
        <v>61</v>
      </c>
      <c r="H1896" s="443"/>
      <c r="I1896" s="340"/>
      <c r="J1896" s="340"/>
      <c r="K1896" s="340">
        <v>2.8</v>
      </c>
      <c r="L1896" s="457">
        <v>20.58</v>
      </c>
      <c r="M1896" s="587">
        <f>(2.1*0.8)*6</f>
        <v>10.080000000000002</v>
      </c>
      <c r="N1896" s="457">
        <f t="shared" si="69"/>
        <v>57.623999999999988</v>
      </c>
      <c r="O1896" s="119"/>
    </row>
    <row r="1897" spans="1:15" s="127" customFormat="1">
      <c r="A1897" s="337"/>
      <c r="B1897" s="337"/>
      <c r="C1897" s="1001" t="s">
        <v>1824</v>
      </c>
      <c r="D1897" s="1001"/>
      <c r="E1897" s="1001"/>
      <c r="F1897" s="1001"/>
      <c r="G1897" s="343" t="s">
        <v>61</v>
      </c>
      <c r="H1897" s="443"/>
      <c r="I1897" s="340"/>
      <c r="J1897" s="340"/>
      <c r="K1897" s="340">
        <v>2.8</v>
      </c>
      <c r="L1897" s="457">
        <v>17.64</v>
      </c>
      <c r="M1897" s="587">
        <f>(1.46*1.5)+(0.8*2.1)</f>
        <v>3.87</v>
      </c>
      <c r="N1897" s="457">
        <f t="shared" si="69"/>
        <v>49.391999999999996</v>
      </c>
      <c r="O1897" s="119"/>
    </row>
    <row r="1898" spans="1:15" s="127" customFormat="1">
      <c r="A1898" s="337"/>
      <c r="B1898" s="337"/>
      <c r="C1898" s="1001" t="s">
        <v>1855</v>
      </c>
      <c r="D1898" s="1001"/>
      <c r="E1898" s="1001"/>
      <c r="F1898" s="1001"/>
      <c r="G1898" s="343" t="s">
        <v>61</v>
      </c>
      <c r="H1898" s="443"/>
      <c r="I1898" s="340"/>
      <c r="J1898" s="340"/>
      <c r="K1898" s="340">
        <v>2.8</v>
      </c>
      <c r="L1898" s="457">
        <v>22.4</v>
      </c>
      <c r="M1898" s="587">
        <f>3*(2.1*0.8)</f>
        <v>5.0400000000000009</v>
      </c>
      <c r="N1898" s="457">
        <f t="shared" si="69"/>
        <v>62.719999999999992</v>
      </c>
      <c r="O1898" s="119"/>
    </row>
    <row r="1899" spans="1:15" s="127" customFormat="1">
      <c r="A1899" s="337"/>
      <c r="B1899" s="337"/>
      <c r="C1899" s="1001" t="s">
        <v>1826</v>
      </c>
      <c r="D1899" s="1001"/>
      <c r="E1899" s="1001"/>
      <c r="F1899" s="1001"/>
      <c r="G1899" s="343" t="s">
        <v>61</v>
      </c>
      <c r="H1899" s="443"/>
      <c r="I1899" s="340"/>
      <c r="J1899" s="340"/>
      <c r="K1899" s="340">
        <v>2.8</v>
      </c>
      <c r="L1899" s="459">
        <v>9.1999999999999993</v>
      </c>
      <c r="M1899" s="309">
        <f>(1*0.4)+(0.94*1)+(0.8*2.1)</f>
        <v>3.02</v>
      </c>
      <c r="N1899" s="457">
        <f t="shared" si="69"/>
        <v>25.759999999999998</v>
      </c>
      <c r="O1899" s="119"/>
    </row>
    <row r="1900" spans="1:15" s="127" customFormat="1">
      <c r="A1900" s="337"/>
      <c r="B1900" s="337"/>
      <c r="C1900" s="1001" t="s">
        <v>1980</v>
      </c>
      <c r="D1900" s="1001"/>
      <c r="E1900" s="1001"/>
      <c r="F1900" s="1001"/>
      <c r="G1900" s="343" t="s">
        <v>61</v>
      </c>
      <c r="H1900" s="443"/>
      <c r="I1900" s="340"/>
      <c r="J1900" s="340"/>
      <c r="K1900" s="340">
        <v>2.8</v>
      </c>
      <c r="L1900" s="459">
        <v>8.9</v>
      </c>
      <c r="M1900" s="309">
        <f>(2.1*0.8)+(2.65*1)</f>
        <v>4.33</v>
      </c>
      <c r="N1900" s="457">
        <f t="shared" si="69"/>
        <v>24.919999999999998</v>
      </c>
      <c r="O1900" s="119"/>
    </row>
    <row r="1901" spans="1:15" s="127" customFormat="1">
      <c r="A1901" s="337"/>
      <c r="B1901" s="337"/>
      <c r="C1901" s="1001" t="s">
        <v>1981</v>
      </c>
      <c r="D1901" s="1001"/>
      <c r="E1901" s="1001"/>
      <c r="F1901" s="1001"/>
      <c r="G1901" s="343" t="s">
        <v>61</v>
      </c>
      <c r="H1901" s="443"/>
      <c r="I1901" s="340"/>
      <c r="J1901" s="340"/>
      <c r="K1901" s="340">
        <v>2.8</v>
      </c>
      <c r="L1901" s="459">
        <v>8.9</v>
      </c>
      <c r="M1901" s="309">
        <f>2.1*0.8+(2.65*1)</f>
        <v>4.33</v>
      </c>
      <c r="N1901" s="457">
        <f t="shared" si="69"/>
        <v>24.919999999999998</v>
      </c>
      <c r="O1901" s="119"/>
    </row>
    <row r="1902" spans="1:15" s="127" customFormat="1">
      <c r="A1902" s="337"/>
      <c r="B1902" s="337"/>
      <c r="C1902" s="1001" t="s">
        <v>1830</v>
      </c>
      <c r="D1902" s="1001"/>
      <c r="E1902" s="1001"/>
      <c r="F1902" s="1001"/>
      <c r="G1902" s="343" t="s">
        <v>61</v>
      </c>
      <c r="H1902" s="443"/>
      <c r="I1902" s="340"/>
      <c r="J1902" s="340"/>
      <c r="K1902" s="340">
        <v>2.8</v>
      </c>
      <c r="L1902" s="459">
        <f>16.4988+7.8</f>
        <v>24.2988</v>
      </c>
      <c r="M1902" s="309">
        <f>7*(2.1*0.8)+(0.5*2.6)+(0.94*1)</f>
        <v>14.000000000000002</v>
      </c>
      <c r="N1902" s="457">
        <f t="shared" si="69"/>
        <v>68.036639999999991</v>
      </c>
      <c r="O1902" s="119"/>
    </row>
    <row r="1903" spans="1:15" s="127" customFormat="1">
      <c r="A1903" s="337"/>
      <c r="B1903" s="337"/>
      <c r="C1903" s="1001" t="s">
        <v>1831</v>
      </c>
      <c r="D1903" s="1001"/>
      <c r="E1903" s="1001"/>
      <c r="F1903" s="1001"/>
      <c r="G1903" s="343" t="s">
        <v>61</v>
      </c>
      <c r="H1903" s="443"/>
      <c r="I1903" s="340"/>
      <c r="J1903" s="340"/>
      <c r="K1903" s="340">
        <v>2.8</v>
      </c>
      <c r="L1903" s="459">
        <v>47</v>
      </c>
      <c r="M1903" s="309">
        <f>3*(2.6*0.5)+(1.6*2.1)+(0.8*2.1)</f>
        <v>8.9400000000000013</v>
      </c>
      <c r="N1903" s="457">
        <f t="shared" si="69"/>
        <v>131.6</v>
      </c>
      <c r="O1903" s="119"/>
    </row>
    <row r="1904" spans="1:15" s="127" customFormat="1">
      <c r="A1904" s="337"/>
      <c r="B1904" s="337"/>
      <c r="C1904" s="1001" t="s">
        <v>1982</v>
      </c>
      <c r="D1904" s="1001"/>
      <c r="E1904" s="1001"/>
      <c r="F1904" s="1001"/>
      <c r="G1904" s="343" t="s">
        <v>61</v>
      </c>
      <c r="H1904" s="340"/>
      <c r="I1904" s="340"/>
      <c r="J1904" s="119"/>
      <c r="K1904" s="340">
        <f>4-1.8</f>
        <v>2.2000000000000002</v>
      </c>
      <c r="L1904" s="119">
        <v>37.482799999999997</v>
      </c>
      <c r="M1904" s="587">
        <f>(2.75*2.5)+(2.2*4)+(1.63+3.61+1.94)*2.8+2*(0.7*2.1)+2*(0.8*2.1)</f>
        <v>42.078999999999994</v>
      </c>
      <c r="N1904" s="457">
        <f t="shared" si="69"/>
        <v>82.462159999999997</v>
      </c>
      <c r="O1904" s="119"/>
    </row>
    <row r="1905" spans="1:15" s="311" customFormat="1" ht="37.5" customHeight="1">
      <c r="A1905" s="344">
        <f>ORÇAMENTO!A199</f>
        <v>88485</v>
      </c>
      <c r="B1905" s="436" t="str">
        <f>ORÇAMENTO!C199</f>
        <v>12.02</v>
      </c>
      <c r="C1905" s="1014" t="str">
        <f>ORÇAMENTO!D199</f>
        <v>FUNDO SELADOR ACRÍLICO, APLICAÇÃO MANUAL EM PAREDE, UMA DEMÃO. AF_04/2023</v>
      </c>
      <c r="D1905" s="1014"/>
      <c r="E1905" s="1014"/>
      <c r="F1905" s="1014"/>
      <c r="G1905" s="435" t="str">
        <f>ORÇAMENTO!E199</f>
        <v>M²</v>
      </c>
      <c r="H1905" s="436"/>
      <c r="I1905" s="429"/>
      <c r="J1905" s="429"/>
      <c r="K1905" s="304"/>
      <c r="L1905" s="304"/>
      <c r="M1905" s="304"/>
      <c r="N1905" s="552">
        <f>SUM(N1906:N1932)</f>
        <v>1452.8148799999999</v>
      </c>
      <c r="O1905" s="552"/>
    </row>
    <row r="1906" spans="1:15" s="127" customFormat="1">
      <c r="A1906" s="447"/>
      <c r="B1906" s="447"/>
      <c r="C1906" s="1083" t="s">
        <v>1976</v>
      </c>
      <c r="D1906" s="1083"/>
      <c r="E1906" s="1083"/>
      <c r="F1906" s="1083"/>
      <c r="G1906" s="461"/>
      <c r="H1906" s="462"/>
      <c r="I1906" s="444"/>
      <c r="J1906" s="444"/>
      <c r="K1906" s="444"/>
      <c r="L1906" s="463"/>
      <c r="M1906" s="463"/>
      <c r="N1906" s="553"/>
      <c r="O1906" s="307"/>
    </row>
    <row r="1907" spans="1:15" s="127" customFormat="1">
      <c r="A1907" s="447"/>
      <c r="B1907" s="447"/>
      <c r="C1907" s="1010" t="s">
        <v>1836</v>
      </c>
      <c r="D1907" s="1010"/>
      <c r="E1907" s="1010"/>
      <c r="F1907" s="1010"/>
      <c r="G1907" s="437" t="s">
        <v>61</v>
      </c>
      <c r="H1907" s="462"/>
      <c r="I1907" s="444"/>
      <c r="J1907" s="444"/>
      <c r="K1907" s="444">
        <v>2.8</v>
      </c>
      <c r="L1907" s="463">
        <v>16.600000000000001</v>
      </c>
      <c r="M1907" s="463">
        <f>(0.8*2.1)+(1.46*1.5)+(1.8*1.5)</f>
        <v>6.57</v>
      </c>
      <c r="N1907" s="553">
        <f t="shared" ref="N1907:N1932" si="70">(L1907*K1907)</f>
        <v>46.480000000000004</v>
      </c>
      <c r="O1907" s="307"/>
    </row>
    <row r="1908" spans="1:15" s="127" customFormat="1">
      <c r="A1908" s="447"/>
      <c r="B1908" s="447"/>
      <c r="C1908" s="1010" t="s">
        <v>1837</v>
      </c>
      <c r="D1908" s="1010"/>
      <c r="E1908" s="1010"/>
      <c r="F1908" s="1010"/>
      <c r="G1908" s="437" t="s">
        <v>61</v>
      </c>
      <c r="H1908" s="462"/>
      <c r="I1908" s="444"/>
      <c r="J1908" s="444"/>
      <c r="K1908" s="444">
        <v>2.8</v>
      </c>
      <c r="L1908" s="463">
        <v>15.3</v>
      </c>
      <c r="M1908" s="463">
        <f>(1.46*1.5)+(0.8*2.13)</f>
        <v>3.8940000000000001</v>
      </c>
      <c r="N1908" s="553">
        <f t="shared" si="70"/>
        <v>42.839999999999996</v>
      </c>
      <c r="O1908" s="307"/>
    </row>
    <row r="1909" spans="1:15" s="127" customFormat="1">
      <c r="A1909" s="447"/>
      <c r="B1909" s="447"/>
      <c r="C1909" s="1010" t="s">
        <v>1977</v>
      </c>
      <c r="D1909" s="1010"/>
      <c r="E1909" s="1010"/>
      <c r="F1909" s="1010"/>
      <c r="G1909" s="437" t="s">
        <v>61</v>
      </c>
      <c r="H1909" s="462"/>
      <c r="I1909" s="444"/>
      <c r="J1909" s="444"/>
      <c r="K1909" s="444">
        <v>2.8</v>
      </c>
      <c r="L1909" s="463">
        <v>17</v>
      </c>
      <c r="M1909" s="463">
        <f>(1.46*1.5)+(0.8*2.1)+(0.7*2.1)</f>
        <v>5.34</v>
      </c>
      <c r="N1909" s="553">
        <f t="shared" si="70"/>
        <v>47.599999999999994</v>
      </c>
      <c r="O1909" s="307"/>
    </row>
    <row r="1910" spans="1:15" s="127" customFormat="1">
      <c r="A1910" s="447"/>
      <c r="B1910" s="447"/>
      <c r="C1910" s="1010" t="s">
        <v>1839</v>
      </c>
      <c r="D1910" s="1010"/>
      <c r="E1910" s="1010"/>
      <c r="F1910" s="1010"/>
      <c r="G1910" s="437" t="s">
        <v>61</v>
      </c>
      <c r="H1910" s="462"/>
      <c r="I1910" s="444"/>
      <c r="J1910" s="444"/>
      <c r="K1910" s="444">
        <v>2.8</v>
      </c>
      <c r="L1910" s="463">
        <v>17.001100000000001</v>
      </c>
      <c r="M1910" s="463">
        <f>(1.46*1.5)+(0.8*2.1)+(0.7*2.1)</f>
        <v>5.34</v>
      </c>
      <c r="N1910" s="553">
        <f t="shared" si="70"/>
        <v>47.603079999999999</v>
      </c>
      <c r="O1910" s="307"/>
    </row>
    <row r="1911" spans="1:15" s="127" customFormat="1">
      <c r="A1911" s="447"/>
      <c r="B1911" s="447"/>
      <c r="C1911" s="1010" t="s">
        <v>1841</v>
      </c>
      <c r="D1911" s="1010"/>
      <c r="E1911" s="1010"/>
      <c r="F1911" s="1010"/>
      <c r="G1911" s="437" t="s">
        <v>61</v>
      </c>
      <c r="H1911" s="462"/>
      <c r="I1911" s="444"/>
      <c r="J1911" s="444"/>
      <c r="K1911" s="444">
        <f>4-1.8</f>
        <v>2.2000000000000002</v>
      </c>
      <c r="L1911" s="463">
        <v>66.2</v>
      </c>
      <c r="M1911" s="463">
        <f>(2.75*2.5)+(9.6*4)+(2.4*4)+(1.8*1.5)+(0.8*2.1)*8+(0.8*2.13)+(3.05*4)+(1.91*1.5)*2</f>
        <v>90.649000000000001</v>
      </c>
      <c r="N1911" s="553">
        <f t="shared" si="70"/>
        <v>145.64000000000001</v>
      </c>
      <c r="O1911" s="307"/>
    </row>
    <row r="1912" spans="1:15" s="127" customFormat="1">
      <c r="A1912" s="447"/>
      <c r="B1912" s="447"/>
      <c r="C1912" s="1010" t="s">
        <v>1825</v>
      </c>
      <c r="D1912" s="1010"/>
      <c r="E1912" s="1010"/>
      <c r="F1912" s="1010"/>
      <c r="G1912" s="437" t="s">
        <v>61</v>
      </c>
      <c r="H1912" s="462"/>
      <c r="I1912" s="444"/>
      <c r="J1912" s="444"/>
      <c r="K1912" s="444">
        <v>2.8</v>
      </c>
      <c r="L1912" s="463">
        <v>19.7</v>
      </c>
      <c r="M1912" s="463">
        <f>2*(0.8*2.1)+(1.46*1.5)</f>
        <v>5.5500000000000007</v>
      </c>
      <c r="N1912" s="553">
        <f t="shared" si="70"/>
        <v>55.16</v>
      </c>
      <c r="O1912" s="307"/>
    </row>
    <row r="1913" spans="1:15" s="127" customFormat="1">
      <c r="A1913" s="447"/>
      <c r="B1913" s="447"/>
      <c r="C1913" s="1010" t="s">
        <v>1824</v>
      </c>
      <c r="D1913" s="1010"/>
      <c r="E1913" s="1010"/>
      <c r="F1913" s="1010"/>
      <c r="G1913" s="437" t="s">
        <v>61</v>
      </c>
      <c r="H1913" s="462"/>
      <c r="I1913" s="444"/>
      <c r="J1913" s="444"/>
      <c r="K1913" s="444">
        <v>2.8</v>
      </c>
      <c r="L1913" s="463">
        <v>17.64</v>
      </c>
      <c r="M1913" s="463">
        <f>2*(1.46*1.5)+(0.8*2.1)</f>
        <v>6.0600000000000005</v>
      </c>
      <c r="N1913" s="553">
        <f t="shared" si="70"/>
        <v>49.391999999999996</v>
      </c>
      <c r="O1913" s="307"/>
    </row>
    <row r="1914" spans="1:15" s="127" customFormat="1">
      <c r="A1914" s="447"/>
      <c r="B1914" s="447"/>
      <c r="C1914" s="1010" t="s">
        <v>1830</v>
      </c>
      <c r="D1914" s="1010"/>
      <c r="E1914" s="1010"/>
      <c r="F1914" s="1010"/>
      <c r="G1914" s="437" t="s">
        <v>61</v>
      </c>
      <c r="H1914" s="462"/>
      <c r="I1914" s="444"/>
      <c r="J1914" s="444"/>
      <c r="K1914" s="444">
        <v>2.8</v>
      </c>
      <c r="L1914" s="463">
        <v>20.58</v>
      </c>
      <c r="M1914" s="463">
        <f>6*(0.8*2.1)</f>
        <v>10.080000000000002</v>
      </c>
      <c r="N1914" s="553">
        <f t="shared" si="70"/>
        <v>57.623999999999988</v>
      </c>
      <c r="O1914" s="307"/>
    </row>
    <row r="1915" spans="1:15" s="127" customFormat="1">
      <c r="A1915" s="447"/>
      <c r="B1915" s="447"/>
      <c r="C1915" s="1010" t="s">
        <v>1822</v>
      </c>
      <c r="D1915" s="1010"/>
      <c r="E1915" s="1010"/>
      <c r="F1915" s="1010"/>
      <c r="G1915" s="437" t="s">
        <v>61</v>
      </c>
      <c r="H1915" s="462"/>
      <c r="I1915" s="444"/>
      <c r="J1915" s="444"/>
      <c r="K1915" s="444">
        <v>2.8</v>
      </c>
      <c r="L1915" s="463">
        <v>20.677499999999998</v>
      </c>
      <c r="M1915" s="463">
        <f>2*(1.46*1.5)+(0.8*2.1)+(0.7*2.1)</f>
        <v>7.53</v>
      </c>
      <c r="N1915" s="553">
        <f t="shared" si="70"/>
        <v>57.896999999999991</v>
      </c>
      <c r="O1915" s="307"/>
    </row>
    <row r="1916" spans="1:15" s="127" customFormat="1">
      <c r="A1916" s="447"/>
      <c r="B1916" s="447"/>
      <c r="C1916" s="1010" t="s">
        <v>1842</v>
      </c>
      <c r="D1916" s="1010"/>
      <c r="E1916" s="1010"/>
      <c r="F1916" s="1010"/>
      <c r="G1916" s="437" t="s">
        <v>61</v>
      </c>
      <c r="H1916" s="462"/>
      <c r="I1916" s="444"/>
      <c r="J1916" s="444"/>
      <c r="K1916" s="444">
        <v>2.8</v>
      </c>
      <c r="L1916" s="466">
        <v>27.7</v>
      </c>
      <c r="M1916" s="466">
        <f>(0.8*2.1)+(1*1)+(3.5*1.9)</f>
        <v>9.33</v>
      </c>
      <c r="N1916" s="553">
        <f t="shared" si="70"/>
        <v>77.559999999999988</v>
      </c>
      <c r="O1916" s="307"/>
    </row>
    <row r="1917" spans="1:15" s="127" customFormat="1">
      <c r="A1917" s="447"/>
      <c r="B1917" s="447"/>
      <c r="C1917" s="1010" t="s">
        <v>1843</v>
      </c>
      <c r="D1917" s="1010"/>
      <c r="E1917" s="1010"/>
      <c r="F1917" s="1010"/>
      <c r="G1917" s="437" t="s">
        <v>61</v>
      </c>
      <c r="H1917" s="462"/>
      <c r="I1917" s="444"/>
      <c r="J1917" s="444"/>
      <c r="K1917" s="444">
        <v>2.8</v>
      </c>
      <c r="L1917" s="466">
        <v>8.92</v>
      </c>
      <c r="M1917" s="466">
        <f>2*(0.8*2.1)+(1*1)+(1.91*1.5)</f>
        <v>7.2249999999999996</v>
      </c>
      <c r="N1917" s="553">
        <f t="shared" si="70"/>
        <v>24.975999999999999</v>
      </c>
      <c r="O1917" s="307"/>
    </row>
    <row r="1918" spans="1:15" s="127" customFormat="1">
      <c r="A1918" s="447"/>
      <c r="B1918" s="447"/>
      <c r="C1918" s="1010" t="s">
        <v>1818</v>
      </c>
      <c r="D1918" s="1010"/>
      <c r="E1918" s="1010"/>
      <c r="F1918" s="1010"/>
      <c r="G1918" s="437" t="s">
        <v>61</v>
      </c>
      <c r="H1918" s="462"/>
      <c r="I1918" s="444"/>
      <c r="J1918" s="444"/>
      <c r="K1918" s="444">
        <v>2.8</v>
      </c>
      <c r="L1918" s="466">
        <v>6.2</v>
      </c>
      <c r="M1918" s="310">
        <f>2*(0.7*2.1)</f>
        <v>2.94</v>
      </c>
      <c r="N1918" s="553">
        <f t="shared" si="70"/>
        <v>17.36</v>
      </c>
      <c r="O1918" s="307"/>
    </row>
    <row r="1919" spans="1:15" s="127" customFormat="1">
      <c r="A1919" s="447"/>
      <c r="B1919" s="447"/>
      <c r="C1919" s="1010" t="s">
        <v>1820</v>
      </c>
      <c r="D1919" s="1010"/>
      <c r="E1919" s="1010"/>
      <c r="F1919" s="1010"/>
      <c r="G1919" s="437" t="s">
        <v>61</v>
      </c>
      <c r="H1919" s="462"/>
      <c r="I1919" s="444"/>
      <c r="J1919" s="444"/>
      <c r="K1919" s="444">
        <v>2.8</v>
      </c>
      <c r="L1919" s="466">
        <v>18.18</v>
      </c>
      <c r="M1919" s="310">
        <f>2*(2*0.5)+(0.8*2.1)+(1.6*2.1)</f>
        <v>7.0400000000000009</v>
      </c>
      <c r="N1919" s="553">
        <f t="shared" si="70"/>
        <v>50.903999999999996</v>
      </c>
      <c r="O1919" s="307"/>
    </row>
    <row r="1920" spans="1:15" s="127" customFormat="1">
      <c r="A1920" s="447"/>
      <c r="B1920" s="447"/>
      <c r="C1920" s="1010" t="s">
        <v>1821</v>
      </c>
      <c r="D1920" s="1010"/>
      <c r="E1920" s="1010"/>
      <c r="F1920" s="1010"/>
      <c r="G1920" s="437" t="s">
        <v>61</v>
      </c>
      <c r="H1920" s="462"/>
      <c r="I1920" s="444"/>
      <c r="J1920" s="444"/>
      <c r="K1920" s="444">
        <v>2.8</v>
      </c>
      <c r="L1920" s="466">
        <v>15.68</v>
      </c>
      <c r="M1920" s="310">
        <f>(0.8*2.1)+(2*0.5)</f>
        <v>2.68</v>
      </c>
      <c r="N1920" s="553">
        <f t="shared" si="70"/>
        <v>43.903999999999996</v>
      </c>
      <c r="O1920" s="307"/>
    </row>
    <row r="1921" spans="1:15" s="127" customFormat="1">
      <c r="A1921" s="447"/>
      <c r="B1921" s="447"/>
      <c r="C1921" s="1010" t="s">
        <v>1822</v>
      </c>
      <c r="D1921" s="1010"/>
      <c r="E1921" s="1010"/>
      <c r="F1921" s="1010"/>
      <c r="G1921" s="437" t="s">
        <v>61</v>
      </c>
      <c r="H1921" s="462"/>
      <c r="I1921" s="444"/>
      <c r="J1921" s="444"/>
      <c r="K1921" s="444">
        <v>2.8</v>
      </c>
      <c r="L1921" s="466">
        <v>20.68</v>
      </c>
      <c r="M1921" s="310">
        <f>2*(1.46*1.5)+(0.8*2.1)+(0.7*2.1)</f>
        <v>7.53</v>
      </c>
      <c r="N1921" s="553">
        <f t="shared" si="70"/>
        <v>57.903999999999996</v>
      </c>
      <c r="O1921" s="307"/>
    </row>
    <row r="1922" spans="1:15" s="127" customFormat="1">
      <c r="A1922" s="447"/>
      <c r="B1922" s="447"/>
      <c r="C1922" s="1010" t="s">
        <v>1842</v>
      </c>
      <c r="D1922" s="1010"/>
      <c r="E1922" s="1010"/>
      <c r="F1922" s="1010"/>
      <c r="G1922" s="437" t="s">
        <v>61</v>
      </c>
      <c r="H1922" s="462"/>
      <c r="I1922" s="444"/>
      <c r="J1922" s="444"/>
      <c r="K1922" s="444">
        <v>2.8</v>
      </c>
      <c r="L1922" s="466">
        <v>27.7</v>
      </c>
      <c r="M1922" s="608">
        <f>(3.5*1.9)+(1*1)+(0.8*2.1)</f>
        <v>9.33</v>
      </c>
      <c r="N1922" s="553">
        <f t="shared" si="70"/>
        <v>77.559999999999988</v>
      </c>
      <c r="O1922" s="307"/>
    </row>
    <row r="1923" spans="1:15" s="127" customFormat="1">
      <c r="A1923" s="447"/>
      <c r="B1923" s="447"/>
      <c r="C1923" s="1010" t="s">
        <v>1843</v>
      </c>
      <c r="D1923" s="1010"/>
      <c r="E1923" s="1010"/>
      <c r="F1923" s="1010"/>
      <c r="G1923" s="437" t="s">
        <v>61</v>
      </c>
      <c r="H1923" s="462"/>
      <c r="I1923" s="444"/>
      <c r="J1923" s="444"/>
      <c r="K1923" s="444">
        <v>2.8</v>
      </c>
      <c r="L1923" s="466">
        <v>8.92</v>
      </c>
      <c r="M1923" s="608">
        <f>2*(2.1*0.8)+(1.91*1.5)+(1*1)</f>
        <v>7.2249999999999996</v>
      </c>
      <c r="N1923" s="553">
        <f t="shared" si="70"/>
        <v>24.975999999999999</v>
      </c>
      <c r="O1923" s="307"/>
    </row>
    <row r="1924" spans="1:15" s="127" customFormat="1">
      <c r="A1924" s="447"/>
      <c r="B1924" s="447"/>
      <c r="C1924" s="1010" t="s">
        <v>1830</v>
      </c>
      <c r="D1924" s="1010"/>
      <c r="E1924" s="1010"/>
      <c r="F1924" s="1010"/>
      <c r="G1924" s="437" t="s">
        <v>61</v>
      </c>
      <c r="H1924" s="462"/>
      <c r="I1924" s="444"/>
      <c r="J1924" s="444"/>
      <c r="K1924" s="444">
        <v>2.8</v>
      </c>
      <c r="L1924" s="553">
        <v>20.58</v>
      </c>
      <c r="M1924" s="608">
        <f>(2.1*0.8)*6</f>
        <v>10.080000000000002</v>
      </c>
      <c r="N1924" s="553">
        <f t="shared" si="70"/>
        <v>57.623999999999988</v>
      </c>
      <c r="O1924" s="307"/>
    </row>
    <row r="1925" spans="1:15" s="127" customFormat="1">
      <c r="A1925" s="447"/>
      <c r="B1925" s="447"/>
      <c r="C1925" s="1010" t="s">
        <v>1824</v>
      </c>
      <c r="D1925" s="1010"/>
      <c r="E1925" s="1010"/>
      <c r="F1925" s="1010"/>
      <c r="G1925" s="437" t="s">
        <v>61</v>
      </c>
      <c r="H1925" s="462"/>
      <c r="I1925" s="444"/>
      <c r="J1925" s="444"/>
      <c r="K1925" s="444">
        <v>2.8</v>
      </c>
      <c r="L1925" s="553">
        <v>17.64</v>
      </c>
      <c r="M1925" s="608">
        <f>(1.46*1.5)+(0.8*2.1)</f>
        <v>3.87</v>
      </c>
      <c r="N1925" s="553">
        <f t="shared" si="70"/>
        <v>49.391999999999996</v>
      </c>
      <c r="O1925" s="307"/>
    </row>
    <row r="1926" spans="1:15" s="127" customFormat="1">
      <c r="A1926" s="447"/>
      <c r="B1926" s="447"/>
      <c r="C1926" s="1010" t="s">
        <v>1855</v>
      </c>
      <c r="D1926" s="1010"/>
      <c r="E1926" s="1010"/>
      <c r="F1926" s="1010"/>
      <c r="G1926" s="437" t="s">
        <v>61</v>
      </c>
      <c r="H1926" s="462"/>
      <c r="I1926" s="444"/>
      <c r="J1926" s="444"/>
      <c r="K1926" s="444">
        <v>2.8</v>
      </c>
      <c r="L1926" s="553">
        <v>22.4</v>
      </c>
      <c r="M1926" s="608">
        <f>3*(2.1*0.8)</f>
        <v>5.0400000000000009</v>
      </c>
      <c r="N1926" s="553">
        <f t="shared" si="70"/>
        <v>62.719999999999992</v>
      </c>
      <c r="O1926" s="307"/>
    </row>
    <row r="1927" spans="1:15" s="127" customFormat="1">
      <c r="A1927" s="447"/>
      <c r="B1927" s="447"/>
      <c r="C1927" s="1010" t="s">
        <v>1826</v>
      </c>
      <c r="D1927" s="1010"/>
      <c r="E1927" s="1010"/>
      <c r="F1927" s="1010"/>
      <c r="G1927" s="437" t="s">
        <v>61</v>
      </c>
      <c r="H1927" s="462"/>
      <c r="I1927" s="444"/>
      <c r="J1927" s="444"/>
      <c r="K1927" s="444">
        <v>2.8</v>
      </c>
      <c r="L1927" s="466">
        <v>9.1999999999999993</v>
      </c>
      <c r="M1927" s="313">
        <f>(1*0.4)+(0.94*1)+(0.8*2.1)</f>
        <v>3.02</v>
      </c>
      <c r="N1927" s="553">
        <f t="shared" si="70"/>
        <v>25.759999999999998</v>
      </c>
      <c r="O1927" s="307"/>
    </row>
    <row r="1928" spans="1:15" s="127" customFormat="1">
      <c r="A1928" s="447"/>
      <c r="B1928" s="447"/>
      <c r="C1928" s="1010" t="s">
        <v>1980</v>
      </c>
      <c r="D1928" s="1010"/>
      <c r="E1928" s="1010"/>
      <c r="F1928" s="1010"/>
      <c r="G1928" s="437" t="s">
        <v>61</v>
      </c>
      <c r="H1928" s="462"/>
      <c r="I1928" s="444"/>
      <c r="J1928" s="444"/>
      <c r="K1928" s="444">
        <v>2.8</v>
      </c>
      <c r="L1928" s="466">
        <v>8.9</v>
      </c>
      <c r="M1928" s="313">
        <f>(2.1*0.8)+(2.65*1)</f>
        <v>4.33</v>
      </c>
      <c r="N1928" s="553">
        <f t="shared" si="70"/>
        <v>24.919999999999998</v>
      </c>
      <c r="O1928" s="307"/>
    </row>
    <row r="1929" spans="1:15" s="127" customFormat="1">
      <c r="A1929" s="447"/>
      <c r="B1929" s="447"/>
      <c r="C1929" s="1010" t="s">
        <v>1981</v>
      </c>
      <c r="D1929" s="1010"/>
      <c r="E1929" s="1010"/>
      <c r="F1929" s="1010"/>
      <c r="G1929" s="437" t="s">
        <v>61</v>
      </c>
      <c r="H1929" s="462"/>
      <c r="I1929" s="444"/>
      <c r="J1929" s="444"/>
      <c r="K1929" s="444">
        <v>2.8</v>
      </c>
      <c r="L1929" s="466">
        <v>8.9</v>
      </c>
      <c r="M1929" s="313">
        <f>2.1*0.8+(2.65*1)</f>
        <v>4.33</v>
      </c>
      <c r="N1929" s="553">
        <f t="shared" si="70"/>
        <v>24.919999999999998</v>
      </c>
      <c r="O1929" s="307"/>
    </row>
    <row r="1930" spans="1:15" s="127" customFormat="1">
      <c r="A1930" s="447"/>
      <c r="B1930" s="447"/>
      <c r="C1930" s="1010" t="s">
        <v>1830</v>
      </c>
      <c r="D1930" s="1010"/>
      <c r="E1930" s="1010"/>
      <c r="F1930" s="1010"/>
      <c r="G1930" s="437" t="s">
        <v>61</v>
      </c>
      <c r="H1930" s="462"/>
      <c r="I1930" s="444"/>
      <c r="J1930" s="444"/>
      <c r="K1930" s="444">
        <v>2.8</v>
      </c>
      <c r="L1930" s="466">
        <f>16.4988+7.8</f>
        <v>24.2988</v>
      </c>
      <c r="M1930" s="313">
        <f>7*(2.1*0.8)+(0.5*2.6)+(0.94*1)</f>
        <v>14.000000000000002</v>
      </c>
      <c r="N1930" s="553">
        <f t="shared" si="70"/>
        <v>68.036639999999991</v>
      </c>
      <c r="O1930" s="307"/>
    </row>
    <row r="1931" spans="1:15" s="127" customFormat="1">
      <c r="A1931" s="447"/>
      <c r="B1931" s="447"/>
      <c r="C1931" s="1010" t="s">
        <v>1831</v>
      </c>
      <c r="D1931" s="1010"/>
      <c r="E1931" s="1010"/>
      <c r="F1931" s="1010"/>
      <c r="G1931" s="437" t="s">
        <v>61</v>
      </c>
      <c r="H1931" s="462"/>
      <c r="I1931" s="444"/>
      <c r="J1931" s="444"/>
      <c r="K1931" s="444">
        <v>2.8</v>
      </c>
      <c r="L1931" s="466">
        <v>47</v>
      </c>
      <c r="M1931" s="313">
        <f>3*(2.6*0.5)+(1.6*2.1)+(0.8*2.1)</f>
        <v>8.9400000000000013</v>
      </c>
      <c r="N1931" s="553">
        <f t="shared" si="70"/>
        <v>131.6</v>
      </c>
      <c r="O1931" s="307"/>
    </row>
    <row r="1932" spans="1:15" s="127" customFormat="1">
      <c r="A1932" s="447"/>
      <c r="B1932" s="447"/>
      <c r="C1932" s="1010" t="s">
        <v>1982</v>
      </c>
      <c r="D1932" s="1010"/>
      <c r="E1932" s="1010"/>
      <c r="F1932" s="1010"/>
      <c r="G1932" s="437" t="s">
        <v>61</v>
      </c>
      <c r="H1932" s="444"/>
      <c r="I1932" s="444"/>
      <c r="J1932" s="307"/>
      <c r="K1932" s="444">
        <f>4-1.8</f>
        <v>2.2000000000000002</v>
      </c>
      <c r="L1932" s="307">
        <v>37.482799999999997</v>
      </c>
      <c r="M1932" s="608">
        <f>(2.75*2.5)+(2.2*4)+(1.63+3.61+1.94)*2.8+2*(0.7*2.1)+2*(0.8*2.1)</f>
        <v>42.078999999999994</v>
      </c>
      <c r="N1932" s="553">
        <f t="shared" si="70"/>
        <v>82.462159999999997</v>
      </c>
      <c r="O1932" s="307"/>
    </row>
    <row r="1933" spans="1:15" ht="35.450000000000003" customHeight="1">
      <c r="A1933" s="377">
        <f>ORÇAMENTO!A200</f>
        <v>88489</v>
      </c>
      <c r="B1933" s="383" t="str">
        <f>ORÇAMENTO!C200</f>
        <v>12.03</v>
      </c>
      <c r="C1933" s="1003" t="str">
        <f>ORÇAMENTO!D200</f>
        <v>APLICAÇÃO MANUAL DE PINTURA COM TINTA LÁTEX ACRÍLICA EM PAREDES, DUAS DEMÃOS. AF_06/2014 ( BRANCO GELO )</v>
      </c>
      <c r="D1933" s="1003"/>
      <c r="E1933" s="1003"/>
      <c r="F1933" s="1003"/>
      <c r="G1933" s="425" t="str">
        <f>ORÇAMENTO!E200</f>
        <v>M²</v>
      </c>
      <c r="H1933" s="380"/>
      <c r="I1933" s="380"/>
      <c r="J1933" s="380"/>
      <c r="K1933" s="115"/>
      <c r="L1933" s="115"/>
      <c r="M1933" s="115"/>
      <c r="N1933" s="116">
        <f>SUM(N1934:N1960)</f>
        <v>1452.8148799999999</v>
      </c>
      <c r="O1933" s="116"/>
    </row>
    <row r="1934" spans="1:15" s="127" customFormat="1">
      <c r="A1934" s="337"/>
      <c r="B1934" s="337"/>
      <c r="C1934" s="1005" t="s">
        <v>1976</v>
      </c>
      <c r="D1934" s="1005"/>
      <c r="E1934" s="1005"/>
      <c r="F1934" s="1005"/>
      <c r="G1934" s="338"/>
      <c r="H1934" s="443"/>
      <c r="I1934" s="340"/>
      <c r="J1934" s="340"/>
      <c r="K1934" s="340"/>
      <c r="L1934" s="382"/>
      <c r="M1934" s="382"/>
      <c r="N1934" s="457"/>
      <c r="O1934" s="119"/>
    </row>
    <row r="1935" spans="1:15" s="127" customFormat="1">
      <c r="A1935" s="337"/>
      <c r="B1935" s="337"/>
      <c r="C1935" s="1001" t="s">
        <v>1836</v>
      </c>
      <c r="D1935" s="1001"/>
      <c r="E1935" s="1001"/>
      <c r="F1935" s="1001"/>
      <c r="G1935" s="343" t="s">
        <v>61</v>
      </c>
      <c r="H1935" s="443"/>
      <c r="I1935" s="340"/>
      <c r="J1935" s="340"/>
      <c r="K1935" s="340">
        <v>2.8</v>
      </c>
      <c r="L1935" s="382">
        <v>16.600000000000001</v>
      </c>
      <c r="M1935" s="382">
        <f>(0.8*2.1)+(1.46*1.5)+(1.8*1.5)</f>
        <v>6.57</v>
      </c>
      <c r="N1935" s="457">
        <f t="shared" ref="N1935:N1960" si="71">(L1935*K1935)</f>
        <v>46.480000000000004</v>
      </c>
      <c r="O1935" s="119"/>
    </row>
    <row r="1936" spans="1:15" s="127" customFormat="1">
      <c r="A1936" s="337"/>
      <c r="B1936" s="337"/>
      <c r="C1936" s="1001" t="s">
        <v>1837</v>
      </c>
      <c r="D1936" s="1001"/>
      <c r="E1936" s="1001"/>
      <c r="F1936" s="1001"/>
      <c r="G1936" s="343" t="s">
        <v>61</v>
      </c>
      <c r="H1936" s="443"/>
      <c r="I1936" s="340"/>
      <c r="J1936" s="340"/>
      <c r="K1936" s="340">
        <v>2.8</v>
      </c>
      <c r="L1936" s="382">
        <v>15.3</v>
      </c>
      <c r="M1936" s="382">
        <f>(1.46*1.5)+(0.8*2.13)</f>
        <v>3.8940000000000001</v>
      </c>
      <c r="N1936" s="457">
        <f t="shared" si="71"/>
        <v>42.839999999999996</v>
      </c>
      <c r="O1936" s="119"/>
    </row>
    <row r="1937" spans="1:15" s="127" customFormat="1">
      <c r="A1937" s="337"/>
      <c r="B1937" s="337"/>
      <c r="C1937" s="1001" t="s">
        <v>1977</v>
      </c>
      <c r="D1937" s="1001"/>
      <c r="E1937" s="1001"/>
      <c r="F1937" s="1001"/>
      <c r="G1937" s="343" t="s">
        <v>61</v>
      </c>
      <c r="H1937" s="443"/>
      <c r="I1937" s="340"/>
      <c r="J1937" s="340"/>
      <c r="K1937" s="340">
        <v>2.8</v>
      </c>
      <c r="L1937" s="382">
        <v>17</v>
      </c>
      <c r="M1937" s="382">
        <f>(1.46*1.5)+(0.8*2.1)+(0.7*2.1)</f>
        <v>5.34</v>
      </c>
      <c r="N1937" s="457">
        <f t="shared" si="71"/>
        <v>47.599999999999994</v>
      </c>
      <c r="O1937" s="119"/>
    </row>
    <row r="1938" spans="1:15" s="127" customFormat="1">
      <c r="A1938" s="337"/>
      <c r="B1938" s="337"/>
      <c r="C1938" s="1001" t="s">
        <v>1839</v>
      </c>
      <c r="D1938" s="1001"/>
      <c r="E1938" s="1001"/>
      <c r="F1938" s="1001"/>
      <c r="G1938" s="343" t="s">
        <v>61</v>
      </c>
      <c r="H1938" s="443"/>
      <c r="I1938" s="340"/>
      <c r="J1938" s="340"/>
      <c r="K1938" s="340">
        <v>2.8</v>
      </c>
      <c r="L1938" s="382">
        <v>17.001100000000001</v>
      </c>
      <c r="M1938" s="382">
        <f>(1.46*1.5)+(0.8*2.1)+(0.7*2.1)</f>
        <v>5.34</v>
      </c>
      <c r="N1938" s="457">
        <f t="shared" si="71"/>
        <v>47.603079999999999</v>
      </c>
      <c r="O1938" s="119"/>
    </row>
    <row r="1939" spans="1:15" s="127" customFormat="1">
      <c r="A1939" s="337"/>
      <c r="B1939" s="337"/>
      <c r="C1939" s="1001" t="s">
        <v>1841</v>
      </c>
      <c r="D1939" s="1001"/>
      <c r="E1939" s="1001"/>
      <c r="F1939" s="1001"/>
      <c r="G1939" s="343" t="s">
        <v>61</v>
      </c>
      <c r="H1939" s="443"/>
      <c r="I1939" s="340"/>
      <c r="J1939" s="340"/>
      <c r="K1939" s="340">
        <f>4-1.8</f>
        <v>2.2000000000000002</v>
      </c>
      <c r="L1939" s="382">
        <v>66.2</v>
      </c>
      <c r="M1939" s="382">
        <f>(2.75*2.5)+(9.6*4)+(2.4*4)+(1.8*1.5)+(0.8*2.1)*8+(0.8*2.13)+(3.05*4)+(1.91*1.5)*2</f>
        <v>90.649000000000001</v>
      </c>
      <c r="N1939" s="457">
        <f t="shared" si="71"/>
        <v>145.64000000000001</v>
      </c>
      <c r="O1939" s="119"/>
    </row>
    <row r="1940" spans="1:15" s="127" customFormat="1">
      <c r="A1940" s="337"/>
      <c r="B1940" s="337"/>
      <c r="C1940" s="1001" t="s">
        <v>1825</v>
      </c>
      <c r="D1940" s="1001"/>
      <c r="E1940" s="1001"/>
      <c r="F1940" s="1001"/>
      <c r="G1940" s="343" t="s">
        <v>61</v>
      </c>
      <c r="H1940" s="443"/>
      <c r="I1940" s="340"/>
      <c r="J1940" s="340"/>
      <c r="K1940" s="340">
        <v>2.8</v>
      </c>
      <c r="L1940" s="382">
        <v>19.7</v>
      </c>
      <c r="M1940" s="382">
        <f>2*(0.8*2.1)+(1.46*1.5)</f>
        <v>5.5500000000000007</v>
      </c>
      <c r="N1940" s="457">
        <f t="shared" si="71"/>
        <v>55.16</v>
      </c>
      <c r="O1940" s="119"/>
    </row>
    <row r="1941" spans="1:15" s="127" customFormat="1">
      <c r="A1941" s="337"/>
      <c r="B1941" s="337"/>
      <c r="C1941" s="1001" t="s">
        <v>1824</v>
      </c>
      <c r="D1941" s="1001"/>
      <c r="E1941" s="1001"/>
      <c r="F1941" s="1001"/>
      <c r="G1941" s="343" t="s">
        <v>61</v>
      </c>
      <c r="H1941" s="443"/>
      <c r="I1941" s="340"/>
      <c r="J1941" s="340"/>
      <c r="K1941" s="340">
        <v>2.8</v>
      </c>
      <c r="L1941" s="382">
        <v>17.64</v>
      </c>
      <c r="M1941" s="382">
        <f>2*(1.46*1.5)+(0.8*2.1)</f>
        <v>6.0600000000000005</v>
      </c>
      <c r="N1941" s="457">
        <f t="shared" si="71"/>
        <v>49.391999999999996</v>
      </c>
      <c r="O1941" s="119"/>
    </row>
    <row r="1942" spans="1:15" s="127" customFormat="1">
      <c r="A1942" s="337"/>
      <c r="B1942" s="337"/>
      <c r="C1942" s="1001" t="s">
        <v>1830</v>
      </c>
      <c r="D1942" s="1001"/>
      <c r="E1942" s="1001"/>
      <c r="F1942" s="1001"/>
      <c r="G1942" s="343" t="s">
        <v>61</v>
      </c>
      <c r="H1942" s="443"/>
      <c r="I1942" s="340"/>
      <c r="J1942" s="340"/>
      <c r="K1942" s="340">
        <v>2.8</v>
      </c>
      <c r="L1942" s="382">
        <v>20.58</v>
      </c>
      <c r="M1942" s="382">
        <f>6*(0.8*2.1)</f>
        <v>10.080000000000002</v>
      </c>
      <c r="N1942" s="457">
        <f t="shared" si="71"/>
        <v>57.623999999999988</v>
      </c>
      <c r="O1942" s="119"/>
    </row>
    <row r="1943" spans="1:15" s="127" customFormat="1">
      <c r="A1943" s="337"/>
      <c r="B1943" s="337"/>
      <c r="C1943" s="1001" t="s">
        <v>1822</v>
      </c>
      <c r="D1943" s="1001"/>
      <c r="E1943" s="1001"/>
      <c r="F1943" s="1001"/>
      <c r="G1943" s="343" t="s">
        <v>61</v>
      </c>
      <c r="H1943" s="443"/>
      <c r="I1943" s="340"/>
      <c r="J1943" s="340"/>
      <c r="K1943" s="340">
        <v>2.8</v>
      </c>
      <c r="L1943" s="382">
        <v>20.677499999999998</v>
      </c>
      <c r="M1943" s="382">
        <f>2*(1.46*1.5)+(0.8*2.1)+(0.7*2.1)</f>
        <v>7.53</v>
      </c>
      <c r="N1943" s="457">
        <f t="shared" si="71"/>
        <v>57.896999999999991</v>
      </c>
      <c r="O1943" s="119"/>
    </row>
    <row r="1944" spans="1:15" s="127" customFormat="1">
      <c r="A1944" s="337"/>
      <c r="B1944" s="337"/>
      <c r="C1944" s="1001" t="s">
        <v>1842</v>
      </c>
      <c r="D1944" s="1001"/>
      <c r="E1944" s="1001"/>
      <c r="F1944" s="1001"/>
      <c r="G1944" s="343" t="s">
        <v>61</v>
      </c>
      <c r="H1944" s="443"/>
      <c r="I1944" s="340"/>
      <c r="J1944" s="340"/>
      <c r="K1944" s="340">
        <v>2.8</v>
      </c>
      <c r="L1944" s="459">
        <v>27.7</v>
      </c>
      <c r="M1944" s="459">
        <f>(0.8*2.1)+(1*1)+(3.5*1.9)</f>
        <v>9.33</v>
      </c>
      <c r="N1944" s="457">
        <f t="shared" si="71"/>
        <v>77.559999999999988</v>
      </c>
      <c r="O1944" s="119"/>
    </row>
    <row r="1945" spans="1:15" s="127" customFormat="1">
      <c r="A1945" s="337"/>
      <c r="B1945" s="337"/>
      <c r="C1945" s="1001" t="s">
        <v>1843</v>
      </c>
      <c r="D1945" s="1001"/>
      <c r="E1945" s="1001"/>
      <c r="F1945" s="1001"/>
      <c r="G1945" s="343" t="s">
        <v>61</v>
      </c>
      <c r="H1945" s="443"/>
      <c r="I1945" s="340"/>
      <c r="J1945" s="340"/>
      <c r="K1945" s="340">
        <v>2.8</v>
      </c>
      <c r="L1945" s="459">
        <v>8.92</v>
      </c>
      <c r="M1945" s="459">
        <f>2*(0.8*2.1)+(1*1)+(1.91*1.5)</f>
        <v>7.2249999999999996</v>
      </c>
      <c r="N1945" s="457">
        <f t="shared" si="71"/>
        <v>24.975999999999999</v>
      </c>
      <c r="O1945" s="119"/>
    </row>
    <row r="1946" spans="1:15" s="127" customFormat="1">
      <c r="A1946" s="337"/>
      <c r="B1946" s="337"/>
      <c r="C1946" s="1001" t="s">
        <v>1818</v>
      </c>
      <c r="D1946" s="1001"/>
      <c r="E1946" s="1001"/>
      <c r="F1946" s="1001"/>
      <c r="G1946" s="343" t="s">
        <v>61</v>
      </c>
      <c r="H1946" s="443"/>
      <c r="I1946" s="340"/>
      <c r="J1946" s="340"/>
      <c r="K1946" s="340">
        <v>2.8</v>
      </c>
      <c r="L1946" s="459">
        <v>6.2</v>
      </c>
      <c r="M1946" s="123">
        <f>2*(0.7*2.1)</f>
        <v>2.94</v>
      </c>
      <c r="N1946" s="457">
        <f t="shared" si="71"/>
        <v>17.36</v>
      </c>
      <c r="O1946" s="119"/>
    </row>
    <row r="1947" spans="1:15" s="127" customFormat="1">
      <c r="A1947" s="337"/>
      <c r="B1947" s="337"/>
      <c r="C1947" s="1001" t="s">
        <v>1820</v>
      </c>
      <c r="D1947" s="1001"/>
      <c r="E1947" s="1001"/>
      <c r="F1947" s="1001"/>
      <c r="G1947" s="343" t="s">
        <v>61</v>
      </c>
      <c r="H1947" s="443"/>
      <c r="I1947" s="340"/>
      <c r="J1947" s="340"/>
      <c r="K1947" s="340">
        <v>2.8</v>
      </c>
      <c r="L1947" s="459">
        <v>18.18</v>
      </c>
      <c r="M1947" s="123">
        <f>2*(2*0.5)+(0.8*2.1)+(1.6*2.1)</f>
        <v>7.0400000000000009</v>
      </c>
      <c r="N1947" s="457">
        <f t="shared" si="71"/>
        <v>50.903999999999996</v>
      </c>
      <c r="O1947" s="119"/>
    </row>
    <row r="1948" spans="1:15" s="127" customFormat="1">
      <c r="A1948" s="337"/>
      <c r="B1948" s="337"/>
      <c r="C1948" s="1001" t="s">
        <v>1821</v>
      </c>
      <c r="D1948" s="1001"/>
      <c r="E1948" s="1001"/>
      <c r="F1948" s="1001"/>
      <c r="G1948" s="343" t="s">
        <v>61</v>
      </c>
      <c r="H1948" s="443"/>
      <c r="I1948" s="340"/>
      <c r="J1948" s="340"/>
      <c r="K1948" s="340">
        <v>2.8</v>
      </c>
      <c r="L1948" s="459">
        <v>15.68</v>
      </c>
      <c r="M1948" s="123">
        <f>(0.8*2.1)+(2*0.5)</f>
        <v>2.68</v>
      </c>
      <c r="N1948" s="457">
        <f t="shared" si="71"/>
        <v>43.903999999999996</v>
      </c>
      <c r="O1948" s="119"/>
    </row>
    <row r="1949" spans="1:15" s="127" customFormat="1">
      <c r="A1949" s="337"/>
      <c r="B1949" s="337"/>
      <c r="C1949" s="1001" t="s">
        <v>1822</v>
      </c>
      <c r="D1949" s="1001"/>
      <c r="E1949" s="1001"/>
      <c r="F1949" s="1001"/>
      <c r="G1949" s="343" t="s">
        <v>61</v>
      </c>
      <c r="H1949" s="443"/>
      <c r="I1949" s="340"/>
      <c r="J1949" s="340"/>
      <c r="K1949" s="340">
        <v>2.8</v>
      </c>
      <c r="L1949" s="459">
        <v>20.68</v>
      </c>
      <c r="M1949" s="123">
        <f>2*(1.46*1.5)+(0.8*2.1)+(0.7*2.1)</f>
        <v>7.53</v>
      </c>
      <c r="N1949" s="457">
        <f t="shared" si="71"/>
        <v>57.903999999999996</v>
      </c>
      <c r="O1949" s="119"/>
    </row>
    <row r="1950" spans="1:15" s="127" customFormat="1">
      <c r="A1950" s="337"/>
      <c r="B1950" s="337"/>
      <c r="C1950" s="1001" t="s">
        <v>1842</v>
      </c>
      <c r="D1950" s="1001"/>
      <c r="E1950" s="1001"/>
      <c r="F1950" s="1001"/>
      <c r="G1950" s="343" t="s">
        <v>61</v>
      </c>
      <c r="H1950" s="443"/>
      <c r="I1950" s="340"/>
      <c r="J1950" s="340"/>
      <c r="K1950" s="340">
        <v>2.8</v>
      </c>
      <c r="L1950" s="459">
        <v>27.7</v>
      </c>
      <c r="M1950" s="587">
        <f>(3.5*1.9)+(1*1)+(0.8*2.1)</f>
        <v>9.33</v>
      </c>
      <c r="N1950" s="457">
        <f t="shared" si="71"/>
        <v>77.559999999999988</v>
      </c>
      <c r="O1950" s="119"/>
    </row>
    <row r="1951" spans="1:15" s="127" customFormat="1">
      <c r="A1951" s="337"/>
      <c r="B1951" s="337"/>
      <c r="C1951" s="1001" t="s">
        <v>1843</v>
      </c>
      <c r="D1951" s="1001"/>
      <c r="E1951" s="1001"/>
      <c r="F1951" s="1001"/>
      <c r="G1951" s="343" t="s">
        <v>61</v>
      </c>
      <c r="H1951" s="443"/>
      <c r="I1951" s="340"/>
      <c r="J1951" s="340"/>
      <c r="K1951" s="340">
        <v>2.8</v>
      </c>
      <c r="L1951" s="459">
        <v>8.92</v>
      </c>
      <c r="M1951" s="587">
        <f>2*(2.1*0.8)+(1.91*1.5)+(1*1)</f>
        <v>7.2249999999999996</v>
      </c>
      <c r="N1951" s="457">
        <f t="shared" si="71"/>
        <v>24.975999999999999</v>
      </c>
      <c r="O1951" s="119"/>
    </row>
    <row r="1952" spans="1:15" s="127" customFormat="1">
      <c r="A1952" s="337"/>
      <c r="B1952" s="337"/>
      <c r="C1952" s="1001" t="s">
        <v>1830</v>
      </c>
      <c r="D1952" s="1001"/>
      <c r="E1952" s="1001"/>
      <c r="F1952" s="1001"/>
      <c r="G1952" s="343" t="s">
        <v>61</v>
      </c>
      <c r="H1952" s="443"/>
      <c r="I1952" s="340"/>
      <c r="J1952" s="340"/>
      <c r="K1952" s="340">
        <v>2.8</v>
      </c>
      <c r="L1952" s="457">
        <v>20.58</v>
      </c>
      <c r="M1952" s="587">
        <f>(2.1*0.8)*6</f>
        <v>10.080000000000002</v>
      </c>
      <c r="N1952" s="457">
        <f t="shared" si="71"/>
        <v>57.623999999999988</v>
      </c>
      <c r="O1952" s="119"/>
    </row>
    <row r="1953" spans="1:23" s="127" customFormat="1">
      <c r="A1953" s="337"/>
      <c r="B1953" s="337"/>
      <c r="C1953" s="1001" t="s">
        <v>1824</v>
      </c>
      <c r="D1953" s="1001"/>
      <c r="E1953" s="1001"/>
      <c r="F1953" s="1001"/>
      <c r="G1953" s="343" t="s">
        <v>61</v>
      </c>
      <c r="H1953" s="443"/>
      <c r="I1953" s="340"/>
      <c r="J1953" s="340"/>
      <c r="K1953" s="340">
        <v>2.8</v>
      </c>
      <c r="L1953" s="457">
        <v>17.64</v>
      </c>
      <c r="M1953" s="587">
        <f>(1.46*1.5)+(0.8*2.1)</f>
        <v>3.87</v>
      </c>
      <c r="N1953" s="457">
        <f t="shared" si="71"/>
        <v>49.391999999999996</v>
      </c>
      <c r="O1953" s="119"/>
    </row>
    <row r="1954" spans="1:23" s="127" customFormat="1">
      <c r="A1954" s="337"/>
      <c r="B1954" s="337"/>
      <c r="C1954" s="1001" t="s">
        <v>1855</v>
      </c>
      <c r="D1954" s="1001"/>
      <c r="E1954" s="1001"/>
      <c r="F1954" s="1001"/>
      <c r="G1954" s="343" t="s">
        <v>61</v>
      </c>
      <c r="H1954" s="443"/>
      <c r="I1954" s="340"/>
      <c r="J1954" s="340"/>
      <c r="K1954" s="340">
        <v>2.8</v>
      </c>
      <c r="L1954" s="457">
        <v>22.4</v>
      </c>
      <c r="M1954" s="587">
        <f>3*(2.1*0.8)</f>
        <v>5.0400000000000009</v>
      </c>
      <c r="N1954" s="457">
        <f t="shared" si="71"/>
        <v>62.719999999999992</v>
      </c>
      <c r="O1954" s="119"/>
    </row>
    <row r="1955" spans="1:23" s="127" customFormat="1">
      <c r="A1955" s="337"/>
      <c r="B1955" s="337"/>
      <c r="C1955" s="1001" t="s">
        <v>1826</v>
      </c>
      <c r="D1955" s="1001"/>
      <c r="E1955" s="1001"/>
      <c r="F1955" s="1001"/>
      <c r="G1955" s="343" t="s">
        <v>61</v>
      </c>
      <c r="H1955" s="443"/>
      <c r="I1955" s="340"/>
      <c r="J1955" s="340"/>
      <c r="K1955" s="340">
        <v>2.8</v>
      </c>
      <c r="L1955" s="459">
        <v>9.1999999999999993</v>
      </c>
      <c r="M1955" s="309">
        <f>(1*0.4)+(0.94*1)+(0.8*2.1)</f>
        <v>3.02</v>
      </c>
      <c r="N1955" s="457">
        <f t="shared" si="71"/>
        <v>25.759999999999998</v>
      </c>
      <c r="O1955" s="119"/>
    </row>
    <row r="1956" spans="1:23" s="127" customFormat="1">
      <c r="A1956" s="337"/>
      <c r="B1956" s="337"/>
      <c r="C1956" s="1001" t="s">
        <v>1980</v>
      </c>
      <c r="D1956" s="1001"/>
      <c r="E1956" s="1001"/>
      <c r="F1956" s="1001"/>
      <c r="G1956" s="343" t="s">
        <v>61</v>
      </c>
      <c r="H1956" s="443"/>
      <c r="I1956" s="340"/>
      <c r="J1956" s="340"/>
      <c r="K1956" s="340">
        <v>2.8</v>
      </c>
      <c r="L1956" s="459">
        <v>8.9</v>
      </c>
      <c r="M1956" s="309">
        <f>(2.1*0.8)+(2.65*1)</f>
        <v>4.33</v>
      </c>
      <c r="N1956" s="457">
        <f t="shared" si="71"/>
        <v>24.919999999999998</v>
      </c>
      <c r="O1956" s="119"/>
    </row>
    <row r="1957" spans="1:23" s="127" customFormat="1">
      <c r="A1957" s="337"/>
      <c r="B1957" s="337"/>
      <c r="C1957" s="1001" t="s">
        <v>1981</v>
      </c>
      <c r="D1957" s="1001"/>
      <c r="E1957" s="1001"/>
      <c r="F1957" s="1001"/>
      <c r="G1957" s="343" t="s">
        <v>61</v>
      </c>
      <c r="H1957" s="443"/>
      <c r="I1957" s="340"/>
      <c r="J1957" s="340"/>
      <c r="K1957" s="340">
        <v>2.8</v>
      </c>
      <c r="L1957" s="459">
        <v>8.9</v>
      </c>
      <c r="M1957" s="309">
        <f>2.1*0.8+(2.65*1)</f>
        <v>4.33</v>
      </c>
      <c r="N1957" s="457">
        <f t="shared" si="71"/>
        <v>24.919999999999998</v>
      </c>
      <c r="O1957" s="119"/>
    </row>
    <row r="1958" spans="1:23" s="127" customFormat="1">
      <c r="A1958" s="337"/>
      <c r="B1958" s="337"/>
      <c r="C1958" s="1001" t="s">
        <v>1830</v>
      </c>
      <c r="D1958" s="1001"/>
      <c r="E1958" s="1001"/>
      <c r="F1958" s="1001"/>
      <c r="G1958" s="343" t="s">
        <v>61</v>
      </c>
      <c r="H1958" s="443"/>
      <c r="I1958" s="340"/>
      <c r="J1958" s="340"/>
      <c r="K1958" s="340">
        <v>2.8</v>
      </c>
      <c r="L1958" s="459">
        <f>16.4988+7.8</f>
        <v>24.2988</v>
      </c>
      <c r="M1958" s="309">
        <f>7*(2.1*0.8)+(0.5*2.6)+(0.94*1)</f>
        <v>14.000000000000002</v>
      </c>
      <c r="N1958" s="457">
        <f t="shared" si="71"/>
        <v>68.036639999999991</v>
      </c>
      <c r="O1958" s="119"/>
    </row>
    <row r="1959" spans="1:23" s="127" customFormat="1">
      <c r="A1959" s="337"/>
      <c r="B1959" s="337"/>
      <c r="C1959" s="1001" t="s">
        <v>1831</v>
      </c>
      <c r="D1959" s="1001"/>
      <c r="E1959" s="1001"/>
      <c r="F1959" s="1001"/>
      <c r="G1959" s="343" t="s">
        <v>61</v>
      </c>
      <c r="H1959" s="443"/>
      <c r="I1959" s="340"/>
      <c r="J1959" s="340"/>
      <c r="K1959" s="340">
        <v>2.8</v>
      </c>
      <c r="L1959" s="459">
        <v>47</v>
      </c>
      <c r="M1959" s="309">
        <f>3*(2.6*0.5)+(1.6*2.1)+(0.8*2.1)</f>
        <v>8.9400000000000013</v>
      </c>
      <c r="N1959" s="457">
        <f t="shared" si="71"/>
        <v>131.6</v>
      </c>
      <c r="O1959" s="119"/>
    </row>
    <row r="1960" spans="1:23" s="127" customFormat="1">
      <c r="A1960" s="337"/>
      <c r="B1960" s="337"/>
      <c r="C1960" s="1001" t="s">
        <v>1982</v>
      </c>
      <c r="D1960" s="1001"/>
      <c r="E1960" s="1001"/>
      <c r="F1960" s="1001"/>
      <c r="G1960" s="343" t="s">
        <v>61</v>
      </c>
      <c r="H1960" s="340"/>
      <c r="I1960" s="340"/>
      <c r="J1960" s="119"/>
      <c r="K1960" s="340">
        <f>4-1.8</f>
        <v>2.2000000000000002</v>
      </c>
      <c r="L1960" s="119">
        <v>37.482799999999997</v>
      </c>
      <c r="M1960" s="587">
        <f>(2.75*2.5)+(2.2*4)+(1.63+3.61+1.94)*2.8+2*(0.7*2.1)+2*(0.8*2.1)</f>
        <v>42.078999999999994</v>
      </c>
      <c r="N1960" s="457">
        <f t="shared" si="71"/>
        <v>82.462159999999997</v>
      </c>
      <c r="O1960" s="119"/>
    </row>
    <row r="1961" spans="1:23" ht="40.5" customHeight="1">
      <c r="A1961" s="377">
        <f>ORÇAMENTO!A201</f>
        <v>3724</v>
      </c>
      <c r="B1961" s="383" t="str">
        <f>ORÇAMENTO!C201</f>
        <v>12.04</v>
      </c>
      <c r="C1961" s="1003" t="str">
        <f>ORÇAMENTO!D201</f>
        <v>DEMARCAÇÃO DE PAVIMENTOS COM PINTURA DE 1 DEMÃO DE RESINA ACRÍLICA, E APLICAÇÃO DE MICRO-ESFERAS PARA SINALIZAÇÃO HORIZONTAL (ESTACIONAMENTOS, FAIXAS DE PEDRESTRES, ETC.)</v>
      </c>
      <c r="D1961" s="1003"/>
      <c r="E1961" s="1003"/>
      <c r="F1961" s="1003"/>
      <c r="G1961" s="425" t="str">
        <f>ORÇAMENTO!E201</f>
        <v>M²</v>
      </c>
      <c r="H1961" s="383"/>
      <c r="I1961" s="380"/>
      <c r="J1961" s="380"/>
      <c r="K1961" s="115"/>
      <c r="L1961" s="115"/>
      <c r="M1961" s="115"/>
      <c r="N1961" s="116">
        <f>SUM(N1962:N1969)</f>
        <v>136.35623519999999</v>
      </c>
      <c r="O1961" s="116"/>
    </row>
    <row r="1962" spans="1:23" s="127" customFormat="1">
      <c r="A1962" s="337"/>
      <c r="B1962" s="337"/>
      <c r="C1962" s="1002" t="s">
        <v>2025</v>
      </c>
      <c r="D1962" s="1002"/>
      <c r="E1962" s="1002"/>
      <c r="F1962" s="1002"/>
      <c r="G1962" s="389" t="s">
        <v>61</v>
      </c>
      <c r="H1962" s="339">
        <v>24</v>
      </c>
      <c r="I1962" s="340"/>
      <c r="J1962" s="117"/>
      <c r="K1962" s="117"/>
      <c r="L1962" s="118"/>
      <c r="M1962" s="117"/>
      <c r="N1962" s="118">
        <v>55.786500000000004</v>
      </c>
      <c r="O1962" s="119"/>
      <c r="P1962" s="109"/>
      <c r="Q1962" s="109"/>
      <c r="R1962" s="109"/>
      <c r="S1962" s="109"/>
      <c r="T1962" s="851"/>
      <c r="U1962" s="851">
        <f>(12.397*0.15*25)</f>
        <v>46.488750000000003</v>
      </c>
      <c r="V1962" s="851">
        <v>1.2</v>
      </c>
      <c r="W1962" s="851">
        <f>U1962*V1962</f>
        <v>55.786500000000004</v>
      </c>
    </row>
    <row r="1963" spans="1:23" s="127" customFormat="1">
      <c r="A1963" s="337"/>
      <c r="B1963" s="337"/>
      <c r="C1963" s="1002" t="s">
        <v>2026</v>
      </c>
      <c r="D1963" s="1002"/>
      <c r="E1963" s="1002"/>
      <c r="F1963" s="1002"/>
      <c r="G1963" s="389" t="s">
        <v>61</v>
      </c>
      <c r="H1963" s="339"/>
      <c r="I1963" s="340"/>
      <c r="J1963" s="117"/>
      <c r="K1963" s="117"/>
      <c r="L1963" s="118"/>
      <c r="M1963" s="117"/>
      <c r="N1963" s="118">
        <v>6.39</v>
      </c>
      <c r="O1963" s="119"/>
      <c r="P1963" s="109"/>
      <c r="Q1963" s="109"/>
      <c r="R1963" s="109"/>
      <c r="S1963" s="109"/>
      <c r="T1963" s="851"/>
      <c r="U1963" s="851">
        <f>(2.5*0.15*11) + 8*0.15</f>
        <v>5.3250000000000002</v>
      </c>
      <c r="V1963" s="851">
        <v>1.2</v>
      </c>
      <c r="W1963" s="851">
        <f t="shared" ref="W1963:W1969" si="72">U1963*V1963</f>
        <v>6.39</v>
      </c>
    </row>
    <row r="1964" spans="1:23" s="127" customFormat="1">
      <c r="A1964" s="337"/>
      <c r="B1964" s="337"/>
      <c r="C1964" s="1002" t="s">
        <v>2027</v>
      </c>
      <c r="D1964" s="1002"/>
      <c r="E1964" s="1002"/>
      <c r="F1964" s="1002"/>
      <c r="G1964" s="389" t="s">
        <v>61</v>
      </c>
      <c r="H1964" s="339"/>
      <c r="I1964" s="340"/>
      <c r="J1964" s="117"/>
      <c r="K1964" s="117"/>
      <c r="L1964" s="118"/>
      <c r="M1964" s="117"/>
      <c r="N1964" s="118">
        <v>6.3</v>
      </c>
      <c r="O1964" s="119"/>
      <c r="P1964" s="109"/>
      <c r="Q1964" s="109"/>
      <c r="R1964" s="109"/>
      <c r="S1964" s="109"/>
      <c r="T1964" s="851"/>
      <c r="U1964" s="851">
        <f>(5*5*0.15)+(10*0.15)</f>
        <v>5.25</v>
      </c>
      <c r="V1964" s="851">
        <v>1.2</v>
      </c>
      <c r="W1964" s="851">
        <f t="shared" si="72"/>
        <v>6.3</v>
      </c>
    </row>
    <row r="1965" spans="1:23" s="127" customFormat="1">
      <c r="A1965" s="337"/>
      <c r="B1965" s="337"/>
      <c r="C1965" s="1002" t="s">
        <v>2028</v>
      </c>
      <c r="D1965" s="1002"/>
      <c r="E1965" s="1002"/>
      <c r="F1965" s="1002"/>
      <c r="G1965" s="389" t="s">
        <v>61</v>
      </c>
      <c r="H1965" s="339">
        <v>11</v>
      </c>
      <c r="I1965" s="340"/>
      <c r="J1965" s="117"/>
      <c r="K1965" s="117"/>
      <c r="L1965" s="118"/>
      <c r="M1965" s="117"/>
      <c r="N1965" s="118">
        <v>4.5197351999999995</v>
      </c>
      <c r="O1965" s="119"/>
      <c r="P1965" s="109"/>
      <c r="Q1965" s="109"/>
      <c r="R1965" s="109"/>
      <c r="S1965" s="109"/>
      <c r="T1965" s="851"/>
      <c r="U1965" s="851">
        <f>(12.55482*0.15*2)</f>
        <v>3.7664459999999997</v>
      </c>
      <c r="V1965" s="851">
        <v>1.2</v>
      </c>
      <c r="W1965" s="851">
        <f t="shared" si="72"/>
        <v>4.5197351999999995</v>
      </c>
    </row>
    <row r="1966" spans="1:23" s="127" customFormat="1">
      <c r="A1966" s="337"/>
      <c r="B1966" s="337"/>
      <c r="C1966" s="1002" t="s">
        <v>2029</v>
      </c>
      <c r="D1966" s="1002"/>
      <c r="E1966" s="1002"/>
      <c r="F1966" s="1002"/>
      <c r="G1966" s="389" t="s">
        <v>61</v>
      </c>
      <c r="H1966" s="339">
        <v>4</v>
      </c>
      <c r="I1966" s="340"/>
      <c r="J1966" s="117"/>
      <c r="K1966" s="117"/>
      <c r="L1966" s="118"/>
      <c r="M1966" s="117"/>
      <c r="N1966" s="118">
        <v>14.399999999999999</v>
      </c>
      <c r="O1966" s="119"/>
      <c r="P1966" s="109"/>
      <c r="Q1966" s="109"/>
      <c r="R1966" s="109"/>
      <c r="S1966" s="109"/>
      <c r="T1966" s="851"/>
      <c r="U1966" s="851">
        <f>(1.2*5)*2</f>
        <v>12</v>
      </c>
      <c r="V1966" s="851">
        <v>1.2</v>
      </c>
      <c r="W1966" s="851">
        <f t="shared" si="72"/>
        <v>14.399999999999999</v>
      </c>
    </row>
    <row r="1967" spans="1:23" s="127" customFormat="1">
      <c r="A1967" s="337"/>
      <c r="B1967" s="337"/>
      <c r="C1967" s="1002" t="s">
        <v>2030</v>
      </c>
      <c r="D1967" s="1002"/>
      <c r="E1967" s="1002"/>
      <c r="F1967" s="1002"/>
      <c r="G1967" s="389" t="s">
        <v>61</v>
      </c>
      <c r="H1967" s="339">
        <v>2</v>
      </c>
      <c r="I1967" s="340"/>
      <c r="J1967" s="117"/>
      <c r="K1967" s="117"/>
      <c r="L1967" s="118"/>
      <c r="M1967" s="117"/>
      <c r="N1967" s="118">
        <v>16.32</v>
      </c>
      <c r="O1967" s="119"/>
      <c r="P1967" s="109"/>
      <c r="Q1967" s="109"/>
      <c r="R1967" s="109"/>
      <c r="S1967" s="109"/>
      <c r="T1967" s="851"/>
      <c r="U1967" s="851">
        <f>6.8*2</f>
        <v>13.6</v>
      </c>
      <c r="V1967" s="851">
        <v>1.2</v>
      </c>
      <c r="W1967" s="851">
        <f t="shared" si="72"/>
        <v>16.32</v>
      </c>
    </row>
    <row r="1968" spans="1:23" s="127" customFormat="1">
      <c r="A1968" s="337"/>
      <c r="B1968" s="337"/>
      <c r="C1968" s="1002" t="s">
        <v>2031</v>
      </c>
      <c r="D1968" s="1002"/>
      <c r="E1968" s="1002"/>
      <c r="F1968" s="1002"/>
      <c r="G1968" s="389" t="s">
        <v>61</v>
      </c>
      <c r="H1968" s="339">
        <v>1</v>
      </c>
      <c r="I1968" s="340"/>
      <c r="J1968" s="117"/>
      <c r="K1968" s="117"/>
      <c r="L1968" s="118"/>
      <c r="M1968" s="117"/>
      <c r="N1968" s="118">
        <v>16.32</v>
      </c>
      <c r="O1968" s="119"/>
      <c r="P1968" s="109"/>
      <c r="Q1968" s="109"/>
      <c r="R1968" s="109"/>
      <c r="S1968" s="109"/>
      <c r="T1968" s="851"/>
      <c r="U1968" s="851">
        <f t="shared" ref="U1968:U1969" si="73">6.8*2</f>
        <v>13.6</v>
      </c>
      <c r="V1968" s="851">
        <v>1.2</v>
      </c>
      <c r="W1968" s="851">
        <f t="shared" si="72"/>
        <v>16.32</v>
      </c>
    </row>
    <row r="1969" spans="1:23" s="127" customFormat="1">
      <c r="A1969" s="337"/>
      <c r="B1969" s="337"/>
      <c r="C1969" s="1002" t="s">
        <v>2032</v>
      </c>
      <c r="D1969" s="1002"/>
      <c r="E1969" s="1002"/>
      <c r="F1969" s="1002"/>
      <c r="G1969" s="389" t="s">
        <v>61</v>
      </c>
      <c r="H1969" s="339">
        <v>4</v>
      </c>
      <c r="I1969" s="340"/>
      <c r="J1969" s="117"/>
      <c r="K1969" s="117"/>
      <c r="L1969" s="118"/>
      <c r="M1969" s="117"/>
      <c r="N1969" s="118">
        <v>16.32</v>
      </c>
      <c r="O1969" s="119"/>
      <c r="P1969" s="109"/>
      <c r="Q1969" s="109"/>
      <c r="R1969" s="109"/>
      <c r="S1969" s="109"/>
      <c r="T1969" s="851"/>
      <c r="U1969" s="851">
        <f t="shared" si="73"/>
        <v>13.6</v>
      </c>
      <c r="V1969" s="851">
        <v>1.2</v>
      </c>
      <c r="W1969" s="851">
        <f t="shared" si="72"/>
        <v>16.32</v>
      </c>
    </row>
    <row r="1970" spans="1:23" ht="27" customHeight="1">
      <c r="A1970" s="377">
        <f>ORÇAMENTO!A202</f>
        <v>88489</v>
      </c>
      <c r="B1970" s="383" t="str">
        <f>ORÇAMENTO!C202</f>
        <v>12.05</v>
      </c>
      <c r="C1970" s="1003" t="str">
        <f>ORÇAMENTO!D202</f>
        <v>APLICAÇÃO MANUAL DE PINTURA COM TINTA LÁTEX ACRÍLICA EM PAREDES, DUAS DEMÃOS. AF_06/2014 ( BRONZE PALM SPRINGS )</v>
      </c>
      <c r="D1970" s="1003"/>
      <c r="E1970" s="1003"/>
      <c r="F1970" s="1003"/>
      <c r="G1970" s="425" t="str">
        <f>ORÇAMENTO!E202</f>
        <v>M²</v>
      </c>
      <c r="H1970" s="383"/>
      <c r="I1970" s="380"/>
      <c r="J1970" s="380"/>
      <c r="K1970" s="115"/>
      <c r="L1970" s="115"/>
      <c r="M1970" s="115"/>
      <c r="N1970" s="115">
        <f>SUM(N1971:N1975)</f>
        <v>70.084000000000003</v>
      </c>
      <c r="O1970" s="116"/>
      <c r="T1970" s="850"/>
      <c r="U1970" s="850"/>
      <c r="V1970" s="850"/>
      <c r="W1970" s="850"/>
    </row>
    <row r="1971" spans="1:23" s="127" customFormat="1">
      <c r="A1971" s="337"/>
      <c r="B1971" s="337"/>
      <c r="C1971" s="1002" t="s">
        <v>2004</v>
      </c>
      <c r="D1971" s="1002"/>
      <c r="E1971" s="1002"/>
      <c r="F1971" s="1002"/>
      <c r="G1971" s="389" t="s">
        <v>61</v>
      </c>
      <c r="H1971" s="339"/>
      <c r="I1971" s="340">
        <v>4.05</v>
      </c>
      <c r="J1971" s="117"/>
      <c r="K1971" s="444">
        <v>2.8</v>
      </c>
      <c r="L1971" s="118"/>
      <c r="M1971" s="117">
        <f>1.46*1.5</f>
        <v>2.19</v>
      </c>
      <c r="N1971" s="118">
        <f>I1971*K1971</f>
        <v>11.339999999999998</v>
      </c>
      <c r="O1971" s="119"/>
      <c r="P1971" s="109"/>
      <c r="Q1971" s="109"/>
      <c r="R1971" s="109"/>
      <c r="S1971" s="109"/>
      <c r="T1971" s="851"/>
      <c r="U1971" s="851"/>
      <c r="V1971" s="851"/>
      <c r="W1971" s="851"/>
    </row>
    <row r="1972" spans="1:23" s="127" customFormat="1">
      <c r="A1972" s="447"/>
      <c r="B1972" s="447"/>
      <c r="C1972" s="1019" t="s">
        <v>2006</v>
      </c>
      <c r="D1972" s="1019"/>
      <c r="E1972" s="1019"/>
      <c r="F1972" s="1019"/>
      <c r="G1972" s="442" t="s">
        <v>61</v>
      </c>
      <c r="H1972" s="554"/>
      <c r="I1972" s="444">
        <v>2.79</v>
      </c>
      <c r="J1972" s="303"/>
      <c r="K1972" s="444">
        <v>2.8</v>
      </c>
      <c r="L1972" s="551"/>
      <c r="M1972" s="303"/>
      <c r="N1972" s="551">
        <f>I1972*K1972-M1972</f>
        <v>7.8119999999999994</v>
      </c>
      <c r="O1972" s="307"/>
      <c r="P1972" s="693"/>
      <c r="Q1972" s="693"/>
      <c r="R1972" s="693"/>
      <c r="S1972" s="693"/>
      <c r="T1972" s="859"/>
      <c r="U1972" s="859"/>
      <c r="V1972" s="859"/>
      <c r="W1972" s="859"/>
    </row>
    <row r="1973" spans="1:23" s="127" customFormat="1">
      <c r="A1973" s="447"/>
      <c r="B1973" s="447"/>
      <c r="C1973" s="1019" t="s">
        <v>2007</v>
      </c>
      <c r="D1973" s="1019"/>
      <c r="E1973" s="1019"/>
      <c r="F1973" s="1019"/>
      <c r="G1973" s="442" t="s">
        <v>61</v>
      </c>
      <c r="H1973" s="554"/>
      <c r="I1973" s="444">
        <v>2.79</v>
      </c>
      <c r="J1973" s="303"/>
      <c r="K1973" s="444">
        <v>2.8</v>
      </c>
      <c r="L1973" s="551"/>
      <c r="M1973" s="303"/>
      <c r="N1973" s="551">
        <f>I1973*K1973-M1973</f>
        <v>7.8119999999999994</v>
      </c>
      <c r="O1973" s="307"/>
      <c r="P1973" s="693"/>
      <c r="Q1973" s="693"/>
      <c r="R1973" s="693"/>
      <c r="S1973" s="693"/>
      <c r="T1973" s="693"/>
      <c r="U1973" s="693"/>
      <c r="V1973" s="693"/>
      <c r="W1973" s="693"/>
    </row>
    <row r="1974" spans="1:23" s="127" customFormat="1">
      <c r="A1974" s="337"/>
      <c r="B1974" s="337"/>
      <c r="C1974" s="1002" t="s">
        <v>2005</v>
      </c>
      <c r="D1974" s="1002"/>
      <c r="E1974" s="1002"/>
      <c r="F1974" s="1002"/>
      <c r="G1974" s="389" t="s">
        <v>61</v>
      </c>
      <c r="H1974" s="339"/>
      <c r="I1974" s="340">
        <v>5.4</v>
      </c>
      <c r="J1974" s="117"/>
      <c r="K1974" s="444">
        <v>2.8</v>
      </c>
      <c r="L1974" s="118"/>
      <c r="M1974" s="117">
        <f>2.13*0.86</f>
        <v>1.8317999999999999</v>
      </c>
      <c r="N1974" s="118">
        <f>I1974*K1974</f>
        <v>15.12</v>
      </c>
      <c r="O1974" s="119"/>
      <c r="P1974" s="109"/>
      <c r="Q1974" s="109"/>
      <c r="R1974" s="109"/>
      <c r="S1974" s="109"/>
      <c r="T1974" s="109"/>
      <c r="U1974" s="109"/>
      <c r="V1974" s="109"/>
      <c r="W1974" s="109"/>
    </row>
    <row r="1975" spans="1:23" s="127" customFormat="1">
      <c r="A1975" s="337"/>
      <c r="B1975" s="337"/>
      <c r="C1975" s="1002" t="s">
        <v>1831</v>
      </c>
      <c r="D1975" s="1002"/>
      <c r="E1975" s="1002"/>
      <c r="F1975" s="1002"/>
      <c r="G1975" s="389" t="s">
        <v>61</v>
      </c>
      <c r="H1975" s="339"/>
      <c r="I1975" s="340">
        <v>10</v>
      </c>
      <c r="J1975" s="117"/>
      <c r="K1975" s="444">
        <v>2.8</v>
      </c>
      <c r="L1975" s="118"/>
      <c r="M1975" s="117"/>
      <c r="N1975" s="118">
        <f>I1975*K1975-M1975</f>
        <v>28</v>
      </c>
      <c r="O1975" s="119"/>
      <c r="P1975" s="109"/>
      <c r="Q1975" s="109"/>
      <c r="R1975" s="109"/>
      <c r="S1975" s="109"/>
      <c r="T1975" s="109"/>
      <c r="U1975" s="109"/>
      <c r="V1975" s="109"/>
      <c r="W1975" s="109"/>
    </row>
    <row r="1976" spans="1:23" ht="39" customHeight="1">
      <c r="A1976" s="377">
        <f>ORÇAMENTO!A203</f>
        <v>2304</v>
      </c>
      <c r="B1976" s="383" t="str">
        <f>ORÇAMENTO!C203</f>
        <v>12.06</v>
      </c>
      <c r="C1976" s="1003" t="str">
        <f>ORÇAMENTO!D203</f>
        <v>PINTURA DE PROTEÇÃO SOBRE SUPERFÍCIES METÁLICAS COM APLICAÇÃO DE 01 DEMÃO DE TINTA ANTI-CORROSIVA ZARCÃO - R2</v>
      </c>
      <c r="D1976" s="1003"/>
      <c r="E1976" s="1003"/>
      <c r="F1976" s="1003"/>
      <c r="G1976" s="425" t="str">
        <f>ORÇAMENTO!E203</f>
        <v>M²</v>
      </c>
      <c r="H1976" s="383"/>
      <c r="I1976" s="380"/>
      <c r="J1976" s="380"/>
      <c r="K1976" s="115"/>
      <c r="L1976" s="115"/>
      <c r="M1976" s="115"/>
      <c r="N1976" s="115">
        <f>SUM(N1977:N1978)</f>
        <v>3.695780000000001</v>
      </c>
      <c r="O1976" s="116"/>
    </row>
    <row r="1977" spans="1:23" s="127" customFormat="1">
      <c r="A1977" s="337"/>
      <c r="B1977" s="337"/>
      <c r="C1977" s="1002" t="s">
        <v>2033</v>
      </c>
      <c r="D1977" s="1002"/>
      <c r="E1977" s="1002"/>
      <c r="F1977" s="1002"/>
      <c r="G1977" s="389" t="s">
        <v>61</v>
      </c>
      <c r="H1977" s="339">
        <v>1.1000000000000001</v>
      </c>
      <c r="I1977" s="340">
        <f>(2*3.14*0.025)</f>
        <v>0.15700000000000003</v>
      </c>
      <c r="J1977" s="117"/>
      <c r="K1977" s="117">
        <v>6</v>
      </c>
      <c r="L1977" s="118"/>
      <c r="M1977" s="117"/>
      <c r="N1977" s="118">
        <f t="shared" ref="N1977:N1978" si="74">H1977*I1977*K1977</f>
        <v>1.0362000000000002</v>
      </c>
      <c r="O1977" s="119"/>
      <c r="P1977" s="109"/>
      <c r="Q1977" s="109"/>
      <c r="R1977" s="109"/>
      <c r="S1977" s="109"/>
      <c r="T1977" s="109"/>
      <c r="U1977" s="109"/>
      <c r="V1977" s="109"/>
      <c r="W1977" s="109"/>
    </row>
    <row r="1978" spans="1:23" s="127" customFormat="1">
      <c r="A1978" s="337"/>
      <c r="B1978" s="337"/>
      <c r="C1978" s="1002" t="s">
        <v>2034</v>
      </c>
      <c r="D1978" s="1002"/>
      <c r="E1978" s="1002"/>
      <c r="F1978" s="1002"/>
      <c r="G1978" s="389" t="s">
        <v>61</v>
      </c>
      <c r="H1978" s="339">
        <v>1.1000000000000001</v>
      </c>
      <c r="I1978" s="340">
        <f>(2*3.14*0.025)</f>
        <v>0.15700000000000003</v>
      </c>
      <c r="J1978" s="117"/>
      <c r="K1978" s="117">
        <f>ORÇAMENTO!F639</f>
        <v>15.400000000000002</v>
      </c>
      <c r="L1978" s="118"/>
      <c r="M1978" s="117"/>
      <c r="N1978" s="118">
        <f t="shared" si="74"/>
        <v>2.6595800000000009</v>
      </c>
      <c r="O1978" s="119"/>
      <c r="P1978" s="109"/>
      <c r="Q1978" s="109"/>
    </row>
    <row r="1979" spans="1:23" ht="40.5" customHeight="1">
      <c r="A1979" s="377">
        <f>ORÇAMENTO!A204</f>
        <v>2306</v>
      </c>
      <c r="B1979" s="383" t="str">
        <f>ORÇAMENTO!C204</f>
        <v>12.07</v>
      </c>
      <c r="C1979" s="1003" t="str">
        <f>ORÇAMENTO!D204</f>
        <v>PINTURA DE ACABAMENTO COM APLICAÇÃO DE 02 DEMÃOS DE ESMALTE SINTÉTICO SOBRE SUPERFÍCIES METÁLICAS - R1 - CONFORME ESPECIFICAÇÃO DO PROJETO</v>
      </c>
      <c r="D1979" s="1003"/>
      <c r="E1979" s="1003"/>
      <c r="F1979" s="1003"/>
      <c r="G1979" s="425" t="str">
        <f>ORÇAMENTO!E204</f>
        <v>M²</v>
      </c>
      <c r="H1979" s="383"/>
      <c r="I1979" s="380"/>
      <c r="J1979" s="380"/>
      <c r="K1979" s="115"/>
      <c r="L1979" s="115"/>
      <c r="M1979" s="115"/>
      <c r="N1979" s="115">
        <f>SUM(N1980:N1981)</f>
        <v>3.695780000000001</v>
      </c>
      <c r="O1979" s="116"/>
    </row>
    <row r="1980" spans="1:23" s="127" customFormat="1">
      <c r="A1980" s="337"/>
      <c r="B1980" s="337"/>
      <c r="C1980" s="1002" t="s">
        <v>2033</v>
      </c>
      <c r="D1980" s="1002"/>
      <c r="E1980" s="1002"/>
      <c r="F1980" s="1002"/>
      <c r="G1980" s="389" t="s">
        <v>61</v>
      </c>
      <c r="H1980" s="339">
        <v>1.1000000000000001</v>
      </c>
      <c r="I1980" s="340">
        <f>I1977</f>
        <v>0.15700000000000003</v>
      </c>
      <c r="J1980" s="117"/>
      <c r="K1980" s="117">
        <f>K1977</f>
        <v>6</v>
      </c>
      <c r="L1980" s="118"/>
      <c r="M1980" s="117"/>
      <c r="N1980" s="118">
        <f t="shared" ref="N1980:N1981" si="75">H1980*I1980*K1980</f>
        <v>1.0362000000000002</v>
      </c>
      <c r="O1980" s="119"/>
      <c r="P1980" s="109"/>
      <c r="Q1980" s="109"/>
    </row>
    <row r="1981" spans="1:23" s="127" customFormat="1">
      <c r="A1981" s="337"/>
      <c r="B1981" s="337"/>
      <c r="C1981" s="1002" t="s">
        <v>2034</v>
      </c>
      <c r="D1981" s="1002"/>
      <c r="E1981" s="1002"/>
      <c r="F1981" s="1002"/>
      <c r="G1981" s="389" t="s">
        <v>61</v>
      </c>
      <c r="H1981" s="339">
        <v>1.1000000000000001</v>
      </c>
      <c r="I1981" s="340">
        <f>I1978</f>
        <v>0.15700000000000003</v>
      </c>
      <c r="J1981" s="117"/>
      <c r="K1981" s="117">
        <f>K1978</f>
        <v>15.400000000000002</v>
      </c>
      <c r="L1981" s="118"/>
      <c r="M1981" s="117"/>
      <c r="N1981" s="118">
        <f t="shared" si="75"/>
        <v>2.6595800000000009</v>
      </c>
      <c r="O1981" s="119"/>
      <c r="P1981" s="109"/>
      <c r="Q1981" s="109"/>
    </row>
    <row r="1982" spans="1:23" s="311" customFormat="1" ht="30.75" customHeight="1">
      <c r="A1982" s="344">
        <f>ORÇAMENTO!A205</f>
        <v>88496</v>
      </c>
      <c r="B1982" s="436" t="str">
        <f>ORÇAMENTO!C205</f>
        <v>12.08</v>
      </c>
      <c r="C1982" s="1014" t="str">
        <f>ORÇAMENTO!D205</f>
        <v>EMASSAMENTO COM MASSA LÁTEX, APLICAÇÃO EM TETO, DUAS DEMÃOS, LIXAMENTO MANUAL. AF_04/2023</v>
      </c>
      <c r="D1982" s="1014"/>
      <c r="E1982" s="1014"/>
      <c r="F1982" s="1014"/>
      <c r="G1982" s="435" t="str">
        <f>ORÇAMENTO!E205</f>
        <v>M²</v>
      </c>
      <c r="H1982" s="436"/>
      <c r="I1982" s="429"/>
      <c r="J1982" s="429"/>
      <c r="K1982" s="304"/>
      <c r="L1982" s="304"/>
      <c r="M1982" s="304"/>
      <c r="N1982" s="304">
        <f>N1983</f>
        <v>5.18</v>
      </c>
      <c r="O1982" s="552"/>
    </row>
    <row r="1983" spans="1:23" s="127" customFormat="1">
      <c r="A1983" s="447"/>
      <c r="B1983" s="447"/>
      <c r="C1983" s="1019" t="s">
        <v>1826</v>
      </c>
      <c r="D1983" s="1019"/>
      <c r="E1983" s="1019"/>
      <c r="F1983" s="1019"/>
      <c r="G1983" s="442" t="s">
        <v>61</v>
      </c>
      <c r="H1983" s="554"/>
      <c r="I1983" s="444"/>
      <c r="J1983" s="303"/>
      <c r="K1983" s="303"/>
      <c r="L1983" s="551"/>
      <c r="M1983" s="303"/>
      <c r="N1983" s="551">
        <v>5.18</v>
      </c>
      <c r="O1983" s="307"/>
      <c r="P1983" s="693"/>
      <c r="Q1983" s="693"/>
    </row>
    <row r="1984" spans="1:23" s="311" customFormat="1" ht="52.5" customHeight="1">
      <c r="A1984" s="344">
        <f>ORÇAMENTO!A206</f>
        <v>2298</v>
      </c>
      <c r="B1984" s="436" t="str">
        <f>ORÇAMENTO!C206</f>
        <v>12.09</v>
      </c>
      <c r="C1984" s="1014" t="str">
        <f>ORÇAMENTO!D206</f>
        <v>PINTURA PARA INTERIORES, SOBRE PAREDES OU TETOS, COM LIXAMENTO, APLICAÇÃO DE 01 DEMÃO DE LÍQUIDO SELADOR ACRÍLICO, 01 DEMÃO DE TEXTURA ACRÍLICA BRANCA E 02 DEMÃOS DE TINTA PVA LATEX CONVENCIONAL PARA INTERIORES</v>
      </c>
      <c r="D1984" s="1014"/>
      <c r="E1984" s="1014"/>
      <c r="F1984" s="1014"/>
      <c r="G1984" s="435" t="str">
        <f>ORÇAMENTO!E206</f>
        <v>M²</v>
      </c>
      <c r="H1984" s="436"/>
      <c r="I1984" s="429"/>
      <c r="J1984" s="429"/>
      <c r="K1984" s="304"/>
      <c r="L1984" s="304"/>
      <c r="M1984" s="304"/>
      <c r="N1984" s="304">
        <f>N1985</f>
        <v>5.18</v>
      </c>
      <c r="O1984" s="552"/>
    </row>
    <row r="1985" spans="1:22" s="127" customFormat="1">
      <c r="A1985" s="447"/>
      <c r="B1985" s="447"/>
      <c r="C1985" s="1019" t="s">
        <v>1826</v>
      </c>
      <c r="D1985" s="1019"/>
      <c r="E1985" s="1019"/>
      <c r="F1985" s="1019"/>
      <c r="G1985" s="442" t="s">
        <v>61</v>
      </c>
      <c r="H1985" s="554"/>
      <c r="I1985" s="444"/>
      <c r="J1985" s="303"/>
      <c r="K1985" s="303"/>
      <c r="L1985" s="551"/>
      <c r="M1985" s="303"/>
      <c r="N1985" s="551">
        <v>5.18</v>
      </c>
      <c r="O1985" s="307"/>
      <c r="P1985" s="693"/>
      <c r="Q1985" s="859"/>
    </row>
    <row r="1986" spans="1:22" s="127" customFormat="1" ht="24.75" customHeight="1">
      <c r="A1986" s="344">
        <f>ORÇAMENTO!A207</f>
        <v>95305</v>
      </c>
      <c r="B1986" s="436" t="str">
        <f>ORÇAMENTO!C207</f>
        <v>12.10</v>
      </c>
      <c r="C1986" s="1014" t="str">
        <f>ORÇAMENTO!D207</f>
        <v>TEXTURA ACRÍLICA, APLICAÇÃO MANUAL EM PAREDE, UMA DEMÃO. AF_04/2023</v>
      </c>
      <c r="D1986" s="1014"/>
      <c r="E1986" s="1014"/>
      <c r="F1986" s="1014"/>
      <c r="G1986" s="435" t="str">
        <f>ORÇAMENTO!E207</f>
        <v>M²</v>
      </c>
      <c r="H1986" s="436"/>
      <c r="I1986" s="429"/>
      <c r="J1986" s="429"/>
      <c r="K1986" s="304"/>
      <c r="L1986" s="304"/>
      <c r="M1986" s="304"/>
      <c r="N1986" s="304">
        <f>SUM(N1987:N1992)</f>
        <v>1486.7212079999999</v>
      </c>
      <c r="O1986" s="552"/>
      <c r="P1986" s="693"/>
      <c r="Q1986" s="859" t="s">
        <v>2035</v>
      </c>
    </row>
    <row r="1987" spans="1:22" s="127" customFormat="1">
      <c r="A1987" s="447"/>
      <c r="B1987" s="447"/>
      <c r="C1987" s="1000" t="s">
        <v>1849</v>
      </c>
      <c r="D1987" s="1000"/>
      <c r="E1987" s="1000"/>
      <c r="F1987" s="1000"/>
      <c r="G1987" s="338" t="s">
        <v>61</v>
      </c>
      <c r="H1987" s="557">
        <v>2</v>
      </c>
      <c r="I1987" s="582"/>
      <c r="J1987" s="582"/>
      <c r="K1987" s="123">
        <f>1+0.6</f>
        <v>1.6</v>
      </c>
      <c r="L1987" s="117">
        <v>33.452300000000001</v>
      </c>
      <c r="M1987" s="583">
        <f>2*(3*2.13)+(1*2.13)</f>
        <v>14.91</v>
      </c>
      <c r="N1987" s="118">
        <f>((L1987*K1987*H1987)-M1987)*Q1987</f>
        <v>110.56483200000001</v>
      </c>
      <c r="O1987" s="307"/>
      <c r="P1987" s="693"/>
      <c r="Q1987" s="859">
        <v>1.2</v>
      </c>
    </row>
    <row r="1988" spans="1:22" s="127" customFormat="1">
      <c r="A1988" s="447"/>
      <c r="B1988" s="447"/>
      <c r="C1988" s="1000" t="s">
        <v>1850</v>
      </c>
      <c r="D1988" s="1000"/>
      <c r="E1988" s="1000"/>
      <c r="F1988" s="1000"/>
      <c r="G1988" s="338" t="s">
        <v>61</v>
      </c>
      <c r="H1988" s="557">
        <v>2</v>
      </c>
      <c r="I1988" s="582"/>
      <c r="J1988" s="582"/>
      <c r="K1988" s="123">
        <f t="shared" ref="K1988:K1989" si="76">1+0.6</f>
        <v>1.6</v>
      </c>
      <c r="L1988" s="117">
        <f>57.5679</f>
        <v>57.567900000000002</v>
      </c>
      <c r="M1988" s="583"/>
      <c r="N1988" s="118">
        <f>((L1988*K1988*H1988)-M1988)*Q1988</f>
        <v>221.06073600000002</v>
      </c>
      <c r="O1988" s="307"/>
      <c r="P1988" s="693"/>
      <c r="Q1988" s="859">
        <v>1.2</v>
      </c>
    </row>
    <row r="1989" spans="1:22" s="127" customFormat="1">
      <c r="A1989" s="447"/>
      <c r="B1989" s="447"/>
      <c r="C1989" s="1000" t="s">
        <v>1851</v>
      </c>
      <c r="D1989" s="1000"/>
      <c r="E1989" s="1000"/>
      <c r="F1989" s="1000"/>
      <c r="G1989" s="338" t="s">
        <v>61</v>
      </c>
      <c r="H1989" s="557">
        <v>2</v>
      </c>
      <c r="I1989" s="582"/>
      <c r="J1989" s="582"/>
      <c r="K1989" s="123">
        <f t="shared" si="76"/>
        <v>1.6</v>
      </c>
      <c r="L1989" s="117">
        <v>54.623399999999997</v>
      </c>
      <c r="M1989" s="583"/>
      <c r="N1989" s="118">
        <f t="shared" ref="N1989:N1992" si="77">((L1989*K1989*H1989)-M1989)*Q1989</f>
        <v>209.75385600000001</v>
      </c>
      <c r="O1989" s="307"/>
      <c r="P1989" s="693"/>
      <c r="Q1989" s="859">
        <v>1.2</v>
      </c>
    </row>
    <row r="1990" spans="1:22" s="127" customFormat="1">
      <c r="A1990" s="447"/>
      <c r="B1990" s="447"/>
      <c r="C1990" s="1000" t="s">
        <v>1852</v>
      </c>
      <c r="D1990" s="1000"/>
      <c r="E1990" s="1000"/>
      <c r="F1990" s="1000"/>
      <c r="G1990" s="338" t="s">
        <v>61</v>
      </c>
      <c r="H1990" s="557">
        <v>2</v>
      </c>
      <c r="I1990" s="582"/>
      <c r="J1990" s="582"/>
      <c r="K1990" s="123">
        <f>1+2.7</f>
        <v>3.7</v>
      </c>
      <c r="L1990" s="117">
        <f>24.5386+2.9365</f>
        <v>27.475099999999998</v>
      </c>
      <c r="M1990" s="583"/>
      <c r="N1990" s="118">
        <f t="shared" si="77"/>
        <v>243.97888799999998</v>
      </c>
      <c r="O1990" s="307"/>
      <c r="P1990" s="693"/>
      <c r="Q1990" s="859">
        <v>1.2</v>
      </c>
    </row>
    <row r="1991" spans="1:22" s="127" customFormat="1">
      <c r="A1991" s="447"/>
      <c r="B1991" s="447"/>
      <c r="C1991" s="1000" t="s">
        <v>1853</v>
      </c>
      <c r="D1991" s="1000"/>
      <c r="E1991" s="1000"/>
      <c r="F1991" s="1000"/>
      <c r="G1991" s="338" t="s">
        <v>61</v>
      </c>
      <c r="H1991" s="557">
        <v>2</v>
      </c>
      <c r="I1991" s="582"/>
      <c r="J1991" s="582"/>
      <c r="K1991" s="123">
        <f t="shared" ref="K1991:K1992" si="78">1+2.7</f>
        <v>3.7</v>
      </c>
      <c r="L1991" s="117">
        <f>37.9937+3.05+4.65</f>
        <v>45.693699999999993</v>
      </c>
      <c r="M1991" s="583">
        <f>(0.8*2.1)+(3.3*2.5)</f>
        <v>9.93</v>
      </c>
      <c r="N1991" s="118">
        <f t="shared" si="77"/>
        <v>393.84405599999997</v>
      </c>
      <c r="O1991" s="307"/>
      <c r="P1991" s="693"/>
      <c r="Q1991" s="859">
        <v>1.2</v>
      </c>
    </row>
    <row r="1992" spans="1:22" s="127" customFormat="1">
      <c r="A1992" s="447"/>
      <c r="B1992" s="447"/>
      <c r="C1992" s="1000" t="s">
        <v>1854</v>
      </c>
      <c r="D1992" s="1000"/>
      <c r="E1992" s="1000"/>
      <c r="F1992" s="1000"/>
      <c r="G1992" s="338" t="s">
        <v>61</v>
      </c>
      <c r="H1992" s="557">
        <v>2</v>
      </c>
      <c r="I1992" s="582"/>
      <c r="J1992" s="582"/>
      <c r="K1992" s="123">
        <f t="shared" si="78"/>
        <v>3.7</v>
      </c>
      <c r="L1992" s="117">
        <v>34.630499999999998</v>
      </c>
      <c r="M1992" s="583"/>
      <c r="N1992" s="118">
        <f t="shared" si="77"/>
        <v>307.51883999999995</v>
      </c>
      <c r="O1992" s="307"/>
      <c r="P1992" s="693"/>
      <c r="Q1992" s="859">
        <v>1.2</v>
      </c>
    </row>
    <row r="1993" spans="1:22" s="127" customFormat="1" ht="30.75" customHeight="1">
      <c r="A1993" s="344">
        <f>ORÇAMENTO!A208</f>
        <v>2288</v>
      </c>
      <c r="B1993" s="436" t="str">
        <f>ORÇAMENTO!C208</f>
        <v>12.11</v>
      </c>
      <c r="C1993" s="1014" t="str">
        <f>ORÇAMENTO!D208</f>
        <v>PINTURA DE ACABAMENTO COM APLICAÇÃO DE 02 DEMAÕS DE TINTA ACRÍLICA CONVENCIONAL - CINZA CLARO - COBOGÓS</v>
      </c>
      <c r="D1993" s="1014"/>
      <c r="E1993" s="1014"/>
      <c r="F1993" s="1014"/>
      <c r="G1993" s="435" t="str">
        <f>ORÇAMENTO!E208</f>
        <v>M²</v>
      </c>
      <c r="H1993" s="436"/>
      <c r="I1993" s="429"/>
      <c r="J1993" s="429"/>
      <c r="K1993" s="304"/>
      <c r="L1993" s="304"/>
      <c r="M1993" s="304"/>
      <c r="N1993" s="304">
        <f>SUM(N1994)</f>
        <v>8.66</v>
      </c>
      <c r="O1993" s="552"/>
      <c r="P1993" s="693"/>
      <c r="Q1993" s="693"/>
    </row>
    <row r="1994" spans="1:22" s="127" customFormat="1">
      <c r="A1994" s="447"/>
      <c r="B1994" s="447"/>
      <c r="C1994" s="1000" t="s">
        <v>2036</v>
      </c>
      <c r="D1994" s="1000"/>
      <c r="E1994" s="1000"/>
      <c r="F1994" s="1000"/>
      <c r="G1994" s="338" t="s">
        <v>61</v>
      </c>
      <c r="H1994" s="557">
        <v>2</v>
      </c>
      <c r="I1994" s="582"/>
      <c r="J1994" s="582"/>
      <c r="K1994" s="123"/>
      <c r="L1994" s="117"/>
      <c r="M1994" s="583"/>
      <c r="N1994" s="118">
        <f>(4.33)*H1994</f>
        <v>8.66</v>
      </c>
      <c r="O1994" s="307"/>
      <c r="P1994" s="693"/>
      <c r="Q1994" s="693"/>
      <c r="R1994" s="693"/>
      <c r="S1994" s="693"/>
      <c r="T1994" s="693"/>
      <c r="U1994" s="693"/>
      <c r="V1994" s="693"/>
    </row>
    <row r="1995" spans="1:22" s="127" customFormat="1" ht="50.25" customHeight="1">
      <c r="A1995" s="344">
        <f>ORÇAMENTO!A209</f>
        <v>2296</v>
      </c>
      <c r="B1995" s="436" t="str">
        <f>ORÇAMENTO!C209</f>
        <v>12.12</v>
      </c>
      <c r="C1995" s="1014" t="str">
        <f>ORÇAMENTO!D209</f>
        <v>PINTURA PARA EXTERIORES, SOBRE PAREDES, COM LIXAMENTO, APLICAÇÃO DE 01 DEMÃO DE SELADOR ACRÍLICO, 01 DEMÃO DE TEXTURA ACRÍLICA BRANCA E 02 DEMÃOS DE TINTA ACRÍLICA CONVENCIONAL</v>
      </c>
      <c r="D1995" s="1014"/>
      <c r="E1995" s="1014"/>
      <c r="F1995" s="1014"/>
      <c r="G1995" s="435" t="str">
        <f>ORÇAMENTO!E209</f>
        <v>M²</v>
      </c>
      <c r="H1995" s="436"/>
      <c r="I1995" s="429"/>
      <c r="J1995" s="429"/>
      <c r="K1995" s="304"/>
      <c r="L1995" s="304"/>
      <c r="M1995" s="304"/>
      <c r="N1995" s="304">
        <f>SUM(N1996:N2001)</f>
        <v>1486.7212079999999</v>
      </c>
      <c r="O1995" s="552"/>
      <c r="P1995" s="693"/>
      <c r="Q1995" s="693"/>
      <c r="R1995" s="693"/>
      <c r="S1995" s="693"/>
      <c r="T1995" s="693"/>
      <c r="U1995" s="693"/>
      <c r="V1995" s="693"/>
    </row>
    <row r="1996" spans="1:22" s="127" customFormat="1">
      <c r="A1996" s="447"/>
      <c r="B1996" s="447"/>
      <c r="C1996" s="1000" t="s">
        <v>1849</v>
      </c>
      <c r="D1996" s="1000"/>
      <c r="E1996" s="1000"/>
      <c r="F1996" s="1000"/>
      <c r="G1996" s="338" t="s">
        <v>61</v>
      </c>
      <c r="H1996" s="557">
        <v>2</v>
      </c>
      <c r="I1996" s="582"/>
      <c r="J1996" s="582"/>
      <c r="K1996" s="123">
        <f>1+0.6</f>
        <v>1.6</v>
      </c>
      <c r="L1996" s="117">
        <v>33.452300000000001</v>
      </c>
      <c r="M1996" s="583">
        <f>2*(3*2.13)+(1*2.13)</f>
        <v>14.91</v>
      </c>
      <c r="N1996" s="118">
        <f>((L1996*K1996*H1996)-M1996)*Q1996</f>
        <v>110.56483200000001</v>
      </c>
      <c r="O1996" s="307"/>
      <c r="P1996" s="693"/>
      <c r="Q1996" s="859">
        <v>1.2</v>
      </c>
      <c r="R1996" s="693"/>
      <c r="S1996" s="693"/>
      <c r="T1996" s="693"/>
      <c r="U1996" s="693"/>
      <c r="V1996" s="693"/>
    </row>
    <row r="1997" spans="1:22" s="127" customFormat="1">
      <c r="A1997" s="447"/>
      <c r="B1997" s="447"/>
      <c r="C1997" s="1000" t="s">
        <v>1850</v>
      </c>
      <c r="D1997" s="1000"/>
      <c r="E1997" s="1000"/>
      <c r="F1997" s="1000"/>
      <c r="G1997" s="338" t="s">
        <v>61</v>
      </c>
      <c r="H1997" s="557">
        <v>2</v>
      </c>
      <c r="I1997" s="582"/>
      <c r="J1997" s="582"/>
      <c r="K1997" s="123">
        <f t="shared" ref="K1997:K1998" si="79">1+0.6</f>
        <v>1.6</v>
      </c>
      <c r="L1997" s="117">
        <f>57.5679</f>
        <v>57.567900000000002</v>
      </c>
      <c r="M1997" s="583"/>
      <c r="N1997" s="118">
        <f>((L1997*K1997*H1997)-M1997)*Q1997</f>
        <v>221.06073600000002</v>
      </c>
      <c r="O1997" s="307"/>
      <c r="P1997" s="693"/>
      <c r="Q1997" s="859">
        <v>1.2</v>
      </c>
      <c r="R1997" s="693"/>
      <c r="S1997" s="693"/>
      <c r="T1997" s="693"/>
      <c r="U1997" s="693"/>
      <c r="V1997" s="693"/>
    </row>
    <row r="1998" spans="1:22" s="127" customFormat="1">
      <c r="A1998" s="447"/>
      <c r="B1998" s="447"/>
      <c r="C1998" s="1000" t="s">
        <v>1851</v>
      </c>
      <c r="D1998" s="1000"/>
      <c r="E1998" s="1000"/>
      <c r="F1998" s="1000"/>
      <c r="G1998" s="338" t="s">
        <v>61</v>
      </c>
      <c r="H1998" s="557">
        <v>2</v>
      </c>
      <c r="I1998" s="582"/>
      <c r="J1998" s="582"/>
      <c r="K1998" s="123">
        <f t="shared" si="79"/>
        <v>1.6</v>
      </c>
      <c r="L1998" s="117">
        <v>54.623399999999997</v>
      </c>
      <c r="M1998" s="583"/>
      <c r="N1998" s="118">
        <f t="shared" ref="N1998:N2001" si="80">((L1998*K1998*H1998)-M1998)*Q1998</f>
        <v>209.75385600000001</v>
      </c>
      <c r="O1998" s="307"/>
      <c r="P1998" s="693"/>
      <c r="Q1998" s="859">
        <v>1.2</v>
      </c>
      <c r="R1998" s="693"/>
      <c r="S1998" s="693"/>
      <c r="T1998" s="693"/>
      <c r="U1998" s="693"/>
      <c r="V1998" s="693"/>
    </row>
    <row r="1999" spans="1:22" s="127" customFormat="1">
      <c r="A1999" s="447"/>
      <c r="B1999" s="447"/>
      <c r="C1999" s="1000" t="s">
        <v>1852</v>
      </c>
      <c r="D1999" s="1000"/>
      <c r="E1999" s="1000"/>
      <c r="F1999" s="1000"/>
      <c r="G1999" s="338" t="s">
        <v>61</v>
      </c>
      <c r="H1999" s="557">
        <v>2</v>
      </c>
      <c r="I1999" s="582"/>
      <c r="J1999" s="582"/>
      <c r="K1999" s="123">
        <f>1+2.7</f>
        <v>3.7</v>
      </c>
      <c r="L1999" s="117">
        <f>24.5386+2.9365</f>
        <v>27.475099999999998</v>
      </c>
      <c r="M1999" s="583"/>
      <c r="N1999" s="118">
        <f t="shared" si="80"/>
        <v>243.97888799999998</v>
      </c>
      <c r="O1999" s="307"/>
      <c r="P1999" s="693"/>
      <c r="Q1999" s="859">
        <v>1.2</v>
      </c>
      <c r="R1999" s="693"/>
      <c r="S1999" s="693"/>
      <c r="T1999" s="693"/>
      <c r="U1999" s="693"/>
      <c r="V1999" s="693"/>
    </row>
    <row r="2000" spans="1:22" s="127" customFormat="1">
      <c r="A2000" s="447"/>
      <c r="B2000" s="447"/>
      <c r="C2000" s="1000" t="s">
        <v>1853</v>
      </c>
      <c r="D2000" s="1000"/>
      <c r="E2000" s="1000"/>
      <c r="F2000" s="1000"/>
      <c r="G2000" s="338" t="s">
        <v>61</v>
      </c>
      <c r="H2000" s="557">
        <v>2</v>
      </c>
      <c r="I2000" s="582"/>
      <c r="J2000" s="582"/>
      <c r="K2000" s="123">
        <f t="shared" ref="K2000:K2001" si="81">1+2.7</f>
        <v>3.7</v>
      </c>
      <c r="L2000" s="117">
        <f>37.9937+3.05+4.65</f>
        <v>45.693699999999993</v>
      </c>
      <c r="M2000" s="583">
        <f>(0.8*2.1)+(3.3*2.5)</f>
        <v>9.93</v>
      </c>
      <c r="N2000" s="118">
        <f t="shared" si="80"/>
        <v>393.84405599999997</v>
      </c>
      <c r="O2000" s="307"/>
      <c r="P2000" s="693"/>
      <c r="Q2000" s="859">
        <v>1.2</v>
      </c>
      <c r="R2000" s="693"/>
      <c r="S2000" s="693"/>
      <c r="T2000" s="693"/>
      <c r="U2000" s="693"/>
      <c r="V2000" s="693"/>
    </row>
    <row r="2001" spans="1:22" s="127" customFormat="1">
      <c r="A2001" s="447"/>
      <c r="B2001" s="447"/>
      <c r="C2001" s="1000" t="s">
        <v>1854</v>
      </c>
      <c r="D2001" s="1000"/>
      <c r="E2001" s="1000"/>
      <c r="F2001" s="1000"/>
      <c r="G2001" s="338" t="s">
        <v>61</v>
      </c>
      <c r="H2001" s="557">
        <v>2</v>
      </c>
      <c r="I2001" s="582"/>
      <c r="J2001" s="582"/>
      <c r="K2001" s="123">
        <f t="shared" si="81"/>
        <v>3.7</v>
      </c>
      <c r="L2001" s="117">
        <v>34.630499999999998</v>
      </c>
      <c r="M2001" s="583"/>
      <c r="N2001" s="118">
        <f t="shared" si="80"/>
        <v>307.51883999999995</v>
      </c>
      <c r="O2001" s="307"/>
      <c r="P2001" s="693"/>
      <c r="Q2001" s="859">
        <v>1.2</v>
      </c>
      <c r="R2001" s="693"/>
      <c r="S2001" s="693"/>
      <c r="T2001" s="693"/>
      <c r="U2001" s="693"/>
      <c r="V2001" s="693"/>
    </row>
    <row r="2002" spans="1:22" s="127" customFormat="1" ht="26.25" customHeight="1">
      <c r="A2002" s="344">
        <f>ORÇAMENTO!A210</f>
        <v>102491</v>
      </c>
      <c r="B2002" s="436" t="str">
        <f>ORÇAMENTO!C210</f>
        <v>12.13</v>
      </c>
      <c r="C2002" s="1014" t="str">
        <f>ORÇAMENTO!D210</f>
        <v>PINTURA DE PISO COM TINTA ACRÍLICA, APLICAÇÃO MANUAL, 2 DEMÃOS, INCLUSO FUNDO PREPARADOR. AF_05/2021</v>
      </c>
      <c r="D2002" s="1014"/>
      <c r="E2002" s="1014"/>
      <c r="F2002" s="1014"/>
      <c r="G2002" s="435" t="str">
        <f>ORÇAMENTO!E210</f>
        <v>M²</v>
      </c>
      <c r="H2002" s="436"/>
      <c r="I2002" s="429"/>
      <c r="J2002" s="429"/>
      <c r="K2002" s="304"/>
      <c r="L2002" s="304"/>
      <c r="M2002" s="304"/>
      <c r="N2002" s="304">
        <f>SUM(N2003:N2006)</f>
        <v>396.10910000000001</v>
      </c>
      <c r="O2002" s="552"/>
      <c r="P2002" s="693"/>
      <c r="Q2002" s="693"/>
      <c r="R2002" s="693"/>
      <c r="S2002" s="1016"/>
      <c r="T2002" s="1017"/>
      <c r="U2002" s="1017"/>
      <c r="V2002" s="1018"/>
    </row>
    <row r="2003" spans="1:22" s="127" customFormat="1">
      <c r="A2003" s="447"/>
      <c r="B2003" s="447"/>
      <c r="C2003" s="1016" t="s">
        <v>1570</v>
      </c>
      <c r="D2003" s="1017"/>
      <c r="E2003" s="1017"/>
      <c r="F2003" s="1018"/>
      <c r="G2003" s="343" t="s">
        <v>61</v>
      </c>
      <c r="H2003" s="443"/>
      <c r="I2003" s="340">
        <v>1.2</v>
      </c>
      <c r="J2003" s="340"/>
      <c r="K2003" s="340"/>
      <c r="L2003" s="118">
        <v>18.7</v>
      </c>
      <c r="M2003" s="309"/>
      <c r="N2003" s="118">
        <f>I2003*L2003</f>
        <v>22.439999999999998</v>
      </c>
      <c r="O2003" s="119"/>
      <c r="P2003" s="693"/>
      <c r="Q2003" s="693"/>
      <c r="R2003" s="693"/>
      <c r="S2003" s="1016"/>
      <c r="T2003" s="1017"/>
      <c r="U2003" s="1017"/>
      <c r="V2003" s="1018"/>
    </row>
    <row r="2004" spans="1:22" s="127" customFormat="1">
      <c r="A2004" s="447"/>
      <c r="B2004" s="447"/>
      <c r="C2004" s="1016" t="s">
        <v>1572</v>
      </c>
      <c r="D2004" s="1017"/>
      <c r="E2004" s="1017"/>
      <c r="F2004" s="1018"/>
      <c r="G2004" s="343" t="s">
        <v>61</v>
      </c>
      <c r="H2004" s="443"/>
      <c r="I2004" s="340">
        <v>1.2</v>
      </c>
      <c r="J2004" s="340"/>
      <c r="K2004" s="340"/>
      <c r="L2004" s="118">
        <v>13.5</v>
      </c>
      <c r="M2004" s="309"/>
      <c r="N2004" s="118">
        <f t="shared" ref="N2004:N2005" si="82">I2004*L2004</f>
        <v>16.2</v>
      </c>
      <c r="O2004" s="119"/>
      <c r="P2004" s="693"/>
      <c r="Q2004" s="693"/>
      <c r="R2004" s="693"/>
    </row>
    <row r="2005" spans="1:22" s="127" customFormat="1">
      <c r="A2005" s="447"/>
      <c r="B2005" s="447"/>
      <c r="C2005" s="1016" t="s">
        <v>1573</v>
      </c>
      <c r="D2005" s="1017"/>
      <c r="E2005" s="1017"/>
      <c r="F2005" s="1018"/>
      <c r="G2005" s="343" t="s">
        <v>61</v>
      </c>
      <c r="H2005" s="443"/>
      <c r="I2005" s="340">
        <v>2.4500000000000002</v>
      </c>
      <c r="J2005" s="340"/>
      <c r="K2005" s="340"/>
      <c r="L2005" s="118">
        <v>7</v>
      </c>
      <c r="M2005" s="309"/>
      <c r="N2005" s="118">
        <f t="shared" si="82"/>
        <v>17.150000000000002</v>
      </c>
      <c r="O2005" s="119"/>
      <c r="P2005" s="693"/>
      <c r="Q2005" s="693"/>
      <c r="R2005" s="693"/>
    </row>
    <row r="2006" spans="1:22" s="127" customFormat="1">
      <c r="A2006" s="447"/>
      <c r="B2006" s="447"/>
      <c r="C2006" s="1016" t="s">
        <v>2037</v>
      </c>
      <c r="D2006" s="1017"/>
      <c r="E2006" s="1017"/>
      <c r="F2006" s="1018"/>
      <c r="G2006" s="343" t="s">
        <v>61</v>
      </c>
      <c r="H2006" s="443"/>
      <c r="I2006" s="340"/>
      <c r="J2006" s="340"/>
      <c r="K2006" s="340"/>
      <c r="L2006" s="118"/>
      <c r="M2006" s="309"/>
      <c r="N2006" s="118">
        <v>340.31909999999999</v>
      </c>
      <c r="O2006" s="119"/>
      <c r="P2006" s="693"/>
      <c r="Q2006" s="693"/>
      <c r="R2006" s="693"/>
    </row>
    <row r="2007" spans="1:22">
      <c r="A2007" s="373" t="s">
        <v>11</v>
      </c>
      <c r="B2007" s="375" t="s">
        <v>13</v>
      </c>
      <c r="C2007" s="1007" t="s">
        <v>1443</v>
      </c>
      <c r="D2007" s="1007"/>
      <c r="E2007" s="1007"/>
      <c r="F2007" s="1007"/>
      <c r="G2007" s="375" t="s">
        <v>15</v>
      </c>
      <c r="H2007" s="375" t="s">
        <v>1444</v>
      </c>
      <c r="I2007" s="375" t="s">
        <v>1445</v>
      </c>
      <c r="J2007" s="375" t="s">
        <v>1446</v>
      </c>
      <c r="K2007" s="375" t="s">
        <v>1447</v>
      </c>
      <c r="L2007" s="375" t="s">
        <v>1448</v>
      </c>
      <c r="M2007" s="375" t="s">
        <v>1457</v>
      </c>
      <c r="N2007" s="375" t="s">
        <v>1450</v>
      </c>
      <c r="O2007" s="375" t="s">
        <v>1451</v>
      </c>
      <c r="S2007" s="1016"/>
      <c r="T2007" s="1017"/>
      <c r="U2007" s="1017"/>
      <c r="V2007" s="1018"/>
    </row>
    <row r="2008" spans="1:22">
      <c r="A2008" s="376"/>
      <c r="B2008" s="376" t="str">
        <f>ORÇAMENTO!C211</f>
        <v>13.00</v>
      </c>
      <c r="C2008" s="1051" t="str">
        <f>ORÇAMENTO!D211</f>
        <v>INSTALAÇÕES HIDRO-SANITÁRIAS</v>
      </c>
      <c r="D2008" s="1051"/>
      <c r="E2008" s="1051"/>
      <c r="F2008" s="1051"/>
      <c r="G2008" s="1082"/>
      <c r="H2008" s="1082"/>
      <c r="I2008" s="1082"/>
      <c r="J2008" s="1082"/>
      <c r="K2008" s="1082"/>
      <c r="L2008" s="1082"/>
      <c r="M2008" s="1082"/>
      <c r="N2008" s="1082"/>
      <c r="O2008" s="1082"/>
    </row>
    <row r="2009" spans="1:22">
      <c r="A2009" s="376"/>
      <c r="B2009" s="376" t="str">
        <f>ORÇAMENTO!C212</f>
        <v>13.01</v>
      </c>
      <c r="C2009" s="1051" t="str">
        <f>ORÇAMENTO!D212</f>
        <v>INSTALAÇÕES HIDRÁULICAS - ÁGUA FRIA</v>
      </c>
      <c r="D2009" s="1051"/>
      <c r="E2009" s="1051"/>
      <c r="F2009" s="1051"/>
      <c r="G2009" s="1082"/>
      <c r="H2009" s="1082"/>
      <c r="I2009" s="1082"/>
      <c r="J2009" s="1082"/>
      <c r="K2009" s="1082"/>
      <c r="L2009" s="1082"/>
      <c r="M2009" s="1082"/>
      <c r="N2009" s="1082"/>
      <c r="O2009" s="1082"/>
    </row>
    <row r="2010" spans="1:22" ht="25.5" customHeight="1">
      <c r="A2010" s="344">
        <f>ORÇAMENTO!A213</f>
        <v>88267</v>
      </c>
      <c r="B2010" s="436" t="str">
        <f>ORÇAMENTO!C213</f>
        <v>13.01.01</v>
      </c>
      <c r="C2010" s="1020" t="str">
        <f>ORÇAMENTO!D213</f>
        <v>ENCANADOR OU BOMBEIRO HIDRÁULICO COM ENCARGOS COMPLEMENTARES</v>
      </c>
      <c r="D2010" s="1020"/>
      <c r="E2010" s="1020"/>
      <c r="F2010" s="1020"/>
      <c r="G2010" s="344" t="str">
        <f>ORÇAMENTO!E213</f>
        <v>H</v>
      </c>
      <c r="H2010" s="436">
        <f>SUM(H2011:H2011)</f>
        <v>40</v>
      </c>
      <c r="I2010" s="345"/>
      <c r="J2010" s="429"/>
      <c r="K2010" s="345"/>
      <c r="L2010" s="429"/>
      <c r="M2010" s="345"/>
      <c r="N2010" s="429"/>
      <c r="O2010" s="345"/>
    </row>
    <row r="2011" spans="1:22">
      <c r="A2011" s="464"/>
      <c r="B2011" s="464"/>
      <c r="C2011" s="1019" t="s">
        <v>2038</v>
      </c>
      <c r="D2011" s="1019"/>
      <c r="E2011" s="1019"/>
      <c r="F2011" s="1019"/>
      <c r="G2011" s="442" t="s">
        <v>40</v>
      </c>
      <c r="H2011" s="612">
        <f>8*5</f>
        <v>40</v>
      </c>
      <c r="I2011" s="609"/>
      <c r="J2011" s="609"/>
      <c r="K2011" s="610"/>
      <c r="L2011" s="610"/>
      <c r="M2011" s="610"/>
      <c r="N2011" s="680"/>
      <c r="O2011" s="680"/>
    </row>
    <row r="2012" spans="1:22" ht="26.25" customHeight="1">
      <c r="A2012" s="344">
        <f>ORÇAMENTO!A214</f>
        <v>88248</v>
      </c>
      <c r="B2012" s="436" t="str">
        <f>ORÇAMENTO!C214</f>
        <v>13.01.02</v>
      </c>
      <c r="C2012" s="1020" t="str">
        <f>ORÇAMENTO!D214</f>
        <v>AUXILIAR DE ENCANADOR OU BOMBEIRO HIDRÁULICO COM ENCARGOS COMPLEMENTARES</v>
      </c>
      <c r="D2012" s="1020"/>
      <c r="E2012" s="1020"/>
      <c r="F2012" s="1020"/>
      <c r="G2012" s="344" t="str">
        <f>ORÇAMENTO!E214</f>
        <v>H</v>
      </c>
      <c r="H2012" s="436">
        <f>SUM(H2013:H2013)</f>
        <v>40</v>
      </c>
      <c r="I2012" s="345"/>
      <c r="J2012" s="429"/>
      <c r="K2012" s="345"/>
      <c r="L2012" s="429"/>
      <c r="M2012" s="345"/>
      <c r="N2012" s="429"/>
      <c r="O2012" s="345"/>
    </row>
    <row r="2013" spans="1:22">
      <c r="A2013" s="464"/>
      <c r="B2013" s="464"/>
      <c r="C2013" s="1019" t="s">
        <v>2038</v>
      </c>
      <c r="D2013" s="1019"/>
      <c r="E2013" s="1019"/>
      <c r="F2013" s="1019"/>
      <c r="G2013" s="442" t="s">
        <v>40</v>
      </c>
      <c r="H2013" s="612">
        <f>8*5</f>
        <v>40</v>
      </c>
      <c r="I2013" s="609"/>
      <c r="J2013" s="609"/>
      <c r="K2013" s="610"/>
      <c r="L2013" s="610"/>
      <c r="M2013" s="610"/>
      <c r="N2013" s="680"/>
      <c r="O2013" s="680"/>
    </row>
    <row r="2014" spans="1:22" ht="48.75" customHeight="1">
      <c r="A2014" s="377">
        <f>ORÇAMENTO!A215</f>
        <v>89383</v>
      </c>
      <c r="B2014" s="377" t="str">
        <f>ORÇAMENTO!C215</f>
        <v>13.01.03</v>
      </c>
      <c r="C2014" s="1071" t="str">
        <f>ORÇAMENTO!D215</f>
        <v>ADAPTADOR CURTO COM BOLSA E ROSCA PARA REGISTRO, PVC, SOLDÁVEL, DN 25MM X 3/4", INSTALADO EM RAMAL OU SUB-RAMAL DE ÁGUA - FORNECIMENTO E INSTALAÇÃO. AF_12/2014_P</v>
      </c>
      <c r="D2014" s="1071"/>
      <c r="E2014" s="1071"/>
      <c r="F2014" s="1071"/>
      <c r="G2014" s="377" t="str">
        <f>ORÇAMENTO!E215</f>
        <v xml:space="preserve">UN </v>
      </c>
      <c r="H2014" s="383">
        <f>SUM(H2015:H2015)</f>
        <v>6</v>
      </c>
      <c r="I2014" s="379"/>
      <c r="J2014" s="380"/>
      <c r="K2014" s="379"/>
      <c r="L2014" s="380"/>
      <c r="M2014" s="379"/>
      <c r="N2014" s="380"/>
      <c r="O2014" s="379"/>
    </row>
    <row r="2015" spans="1:22">
      <c r="A2015" s="342"/>
      <c r="B2015" s="342"/>
      <c r="C2015" s="1019" t="s">
        <v>2038</v>
      </c>
      <c r="D2015" s="1019"/>
      <c r="E2015" s="1019"/>
      <c r="F2015" s="1019"/>
      <c r="G2015" s="389" t="s">
        <v>55</v>
      </c>
      <c r="H2015" s="584">
        <v>6</v>
      </c>
      <c r="I2015" s="582"/>
      <c r="J2015" s="582"/>
      <c r="K2015" s="583"/>
      <c r="L2015" s="583"/>
      <c r="M2015" s="583"/>
      <c r="N2015" s="589"/>
      <c r="O2015" s="589"/>
    </row>
    <row r="2016" spans="1:22" ht="72" customHeight="1">
      <c r="A2016" s="377">
        <f>ORÇAMENTO!A216</f>
        <v>94703</v>
      </c>
      <c r="B2016" s="377" t="str">
        <f>ORÇAMENTO!C216</f>
        <v>13.01.04</v>
      </c>
      <c r="C2016" s="1071" t="str">
        <f>ORÇAMENTO!D216</f>
        <v>ADAPTADOR COM FLANGE E ANEL DE VEDAÇÃO, PVC, SOLDÁVEL, DN 25 MM X 3/4", INSTALADO EM RESERVAÇÃO DE ÁGUA DE EDIFICAÇÃO QUE POSSUA RESERVATÓRIO DE FIBRA/FIBROCIMENTO FORNECIMENTO E INSTALAÇÃO. AF_06/2016</v>
      </c>
      <c r="D2016" s="1071"/>
      <c r="E2016" s="1071"/>
      <c r="F2016" s="1071"/>
      <c r="G2016" s="377" t="str">
        <f>ORÇAMENTO!E216</f>
        <v xml:space="preserve">UN </v>
      </c>
      <c r="H2016" s="383">
        <f>H2017</f>
        <v>6</v>
      </c>
      <c r="I2016" s="379"/>
      <c r="J2016" s="380"/>
      <c r="K2016" s="379"/>
      <c r="L2016" s="380"/>
      <c r="M2016" s="379"/>
      <c r="N2016" s="380"/>
      <c r="O2016" s="379"/>
    </row>
    <row r="2017" spans="1:15">
      <c r="A2017" s="342"/>
      <c r="B2017" s="342"/>
      <c r="C2017" s="1019" t="s">
        <v>2038</v>
      </c>
      <c r="D2017" s="1019"/>
      <c r="E2017" s="1019"/>
      <c r="F2017" s="1019"/>
      <c r="G2017" s="389" t="s">
        <v>55</v>
      </c>
      <c r="H2017" s="584">
        <v>6</v>
      </c>
      <c r="I2017" s="582"/>
      <c r="J2017" s="582"/>
      <c r="K2017" s="583"/>
      <c r="L2017" s="583"/>
      <c r="M2017" s="583"/>
      <c r="N2017" s="589"/>
      <c r="O2017" s="589"/>
    </row>
    <row r="2018" spans="1:15" ht="48.75" customHeight="1">
      <c r="A2018" s="377">
        <f>ORÇAMENTO!A217</f>
        <v>1043</v>
      </c>
      <c r="B2018" s="377" t="str">
        <f>ORÇAMENTO!C217</f>
        <v>13.01.05</v>
      </c>
      <c r="C2018" s="1047" t="str">
        <f>ORÇAMENTO!D217</f>
        <v>ADAPTADOR DE PVC RÍGIDO SOLDÁVEL CURTO C/ BOLSA E ROSCA P/ REGISTRO DIÂM = 60MM X 2"</v>
      </c>
      <c r="D2018" s="1047"/>
      <c r="E2018" s="1047"/>
      <c r="F2018" s="1047"/>
      <c r="G2018" s="377" t="str">
        <f>ORÇAMENTO!E217</f>
        <v xml:space="preserve">UN </v>
      </c>
      <c r="H2018" s="383">
        <f>H2019</f>
        <v>6</v>
      </c>
      <c r="I2018" s="379"/>
      <c r="J2018" s="380"/>
      <c r="K2018" s="379"/>
      <c r="L2018" s="380"/>
      <c r="M2018" s="379"/>
      <c r="N2018" s="380"/>
      <c r="O2018" s="379"/>
    </row>
    <row r="2019" spans="1:15">
      <c r="A2019" s="342"/>
      <c r="B2019" s="342"/>
      <c r="C2019" s="1019" t="s">
        <v>2038</v>
      </c>
      <c r="D2019" s="1019"/>
      <c r="E2019" s="1019"/>
      <c r="F2019" s="1019"/>
      <c r="G2019" s="389" t="s">
        <v>55</v>
      </c>
      <c r="H2019" s="584">
        <v>6</v>
      </c>
      <c r="I2019" s="582"/>
      <c r="J2019" s="582"/>
      <c r="K2019" s="583"/>
      <c r="L2019" s="583"/>
      <c r="M2019" s="583"/>
      <c r="N2019" s="589"/>
      <c r="O2019" s="589"/>
    </row>
    <row r="2020" spans="1:15" ht="65.25" customHeight="1">
      <c r="A2020" s="377">
        <f>ORÇAMENTO!A218</f>
        <v>94662</v>
      </c>
      <c r="B2020" s="377" t="str">
        <f>ORÇAMENTO!C218</f>
        <v>13.01.06</v>
      </c>
      <c r="C2020" s="1047" t="str">
        <f>ORÇAMENTO!D218</f>
        <v>ADAPTADOR CURTO COM BOLSA E ROSCA PARA REGISTRO, PVC, SOLDÁVEL, DN 50 MM X 1 1/2 , INSTALADO EM RESERVAÇÃO DE ÁGUA DE EDIFICAÇÃO QUE POSSUA RESERVATÓRIO DE FIBRA/FIBROCIMENTO FORNECIMENTO E INSTALAÇÃO. AF_06/2016</v>
      </c>
      <c r="D2020" s="1047"/>
      <c r="E2020" s="1047"/>
      <c r="F2020" s="1047"/>
      <c r="G2020" s="377" t="str">
        <f>ORÇAMENTO!E218</f>
        <v xml:space="preserve">UN </v>
      </c>
      <c r="H2020" s="383">
        <f>SUM(H2021)</f>
        <v>6</v>
      </c>
      <c r="I2020" s="379"/>
      <c r="J2020" s="380"/>
      <c r="K2020" s="379"/>
      <c r="L2020" s="380"/>
      <c r="M2020" s="379"/>
      <c r="N2020" s="380"/>
      <c r="O2020" s="379"/>
    </row>
    <row r="2021" spans="1:15">
      <c r="A2021" s="342"/>
      <c r="B2021" s="342"/>
      <c r="C2021" s="1019" t="s">
        <v>2038</v>
      </c>
      <c r="D2021" s="1019"/>
      <c r="E2021" s="1019"/>
      <c r="F2021" s="1019"/>
      <c r="G2021" s="389" t="s">
        <v>55</v>
      </c>
      <c r="H2021" s="584">
        <v>6</v>
      </c>
      <c r="I2021" s="582"/>
      <c r="J2021" s="582"/>
      <c r="K2021" s="583"/>
      <c r="L2021" s="583"/>
      <c r="M2021" s="583"/>
      <c r="N2021" s="589"/>
      <c r="O2021" s="589"/>
    </row>
    <row r="2022" spans="1:15" ht="34.5" customHeight="1">
      <c r="A2022" s="377">
        <f>ORÇAMENTO!A219</f>
        <v>817</v>
      </c>
      <c r="B2022" s="377" t="str">
        <f>ORÇAMENTO!C219</f>
        <v>13.01.07</v>
      </c>
      <c r="C2022" s="1071" t="str">
        <f>ORÇAMENTO!D219</f>
        <v>BÓIA ELÉTRICA PARA RESERVATÓRIO INFERIOR, MARCA AQUAMATIC OU SIMILAR, CAPACIDADE 30 A - FORNECIMENTO E INSTALAÇÃO</v>
      </c>
      <c r="D2022" s="1071"/>
      <c r="E2022" s="1071"/>
      <c r="F2022" s="1071"/>
      <c r="G2022" s="377" t="str">
        <f>ORÇAMENTO!E219</f>
        <v xml:space="preserve">UN </v>
      </c>
      <c r="H2022" s="383">
        <f>SUM(H2023:H2023)</f>
        <v>6</v>
      </c>
      <c r="I2022" s="379"/>
      <c r="J2022" s="380"/>
      <c r="K2022" s="379"/>
      <c r="L2022" s="380"/>
      <c r="M2022" s="379"/>
      <c r="N2022" s="380"/>
      <c r="O2022" s="379"/>
    </row>
    <row r="2023" spans="1:15">
      <c r="A2023" s="342"/>
      <c r="B2023" s="342"/>
      <c r="C2023" s="1019" t="s">
        <v>2038</v>
      </c>
      <c r="D2023" s="1019"/>
      <c r="E2023" s="1019"/>
      <c r="F2023" s="1019"/>
      <c r="G2023" s="389" t="s">
        <v>55</v>
      </c>
      <c r="H2023" s="584">
        <v>6</v>
      </c>
      <c r="I2023" s="582"/>
      <c r="J2023" s="582"/>
      <c r="K2023" s="583"/>
      <c r="L2023" s="583"/>
      <c r="M2023" s="583"/>
      <c r="N2023" s="589"/>
      <c r="O2023" s="589"/>
    </row>
    <row r="2024" spans="1:15" ht="36.75" customHeight="1">
      <c r="A2024" s="377">
        <f>ORÇAMENTO!A220</f>
        <v>102137</v>
      </c>
      <c r="B2024" s="377" t="str">
        <f>ORÇAMENTO!C220</f>
        <v>13.01.08</v>
      </c>
      <c r="C2024" s="1047" t="str">
        <f>ORÇAMENTO!D220</f>
        <v>CHAVE DE BOIA AUTOMÁTICA SUPERIOR/INFERIOR 15A/250V - FORNECIMENTO E INSTALAÇÃO. AF_12/2020</v>
      </c>
      <c r="D2024" s="1047"/>
      <c r="E2024" s="1047"/>
      <c r="F2024" s="1047"/>
      <c r="G2024" s="377" t="str">
        <f>ORÇAMENTO!E220</f>
        <v xml:space="preserve">UN </v>
      </c>
      <c r="H2024" s="383">
        <f>H2025</f>
        <v>6</v>
      </c>
      <c r="I2024" s="379"/>
      <c r="J2024" s="380"/>
      <c r="K2024" s="379"/>
      <c r="L2024" s="380"/>
      <c r="M2024" s="379"/>
      <c r="N2024" s="380"/>
      <c r="O2024" s="379"/>
    </row>
    <row r="2025" spans="1:15">
      <c r="A2025" s="342"/>
      <c r="B2025" s="342"/>
      <c r="C2025" s="1019" t="s">
        <v>2038</v>
      </c>
      <c r="D2025" s="1019"/>
      <c r="E2025" s="1019"/>
      <c r="F2025" s="1019"/>
      <c r="G2025" s="389" t="s">
        <v>55</v>
      </c>
      <c r="H2025" s="584">
        <v>6</v>
      </c>
      <c r="I2025" s="582"/>
      <c r="J2025" s="582"/>
      <c r="K2025" s="583"/>
      <c r="L2025" s="583"/>
      <c r="M2025" s="583"/>
      <c r="N2025" s="589"/>
      <c r="O2025" s="589"/>
    </row>
    <row r="2026" spans="1:15" ht="31.5" customHeight="1">
      <c r="A2026" s="377">
        <f>ORÇAMENTO!A221</f>
        <v>94798</v>
      </c>
      <c r="B2026" s="377" t="str">
        <f>ORÇAMENTO!C221</f>
        <v>13.01.09</v>
      </c>
      <c r="C2026" s="1047" t="str">
        <f>ORÇAMENTO!D221</f>
        <v>TORNEIRA DE BÓIA REAL, ROSCÁVEL, 1 1/4", FORNECIDA E INSTALADA EM RESERVAÇÃO DE ÁGUA. AF_06/2016</v>
      </c>
      <c r="D2026" s="1047"/>
      <c r="E2026" s="1047"/>
      <c r="F2026" s="1047"/>
      <c r="G2026" s="377" t="str">
        <f>ORÇAMENTO!E221</f>
        <v xml:space="preserve">UN </v>
      </c>
      <c r="H2026" s="383">
        <f>H2027</f>
        <v>2</v>
      </c>
      <c r="I2026" s="379"/>
      <c r="J2026" s="380"/>
      <c r="K2026" s="379"/>
      <c r="L2026" s="380"/>
      <c r="M2026" s="379"/>
      <c r="N2026" s="380"/>
      <c r="O2026" s="379"/>
    </row>
    <row r="2027" spans="1:15">
      <c r="A2027" s="342"/>
      <c r="B2027" s="342"/>
      <c r="C2027" s="1019" t="s">
        <v>2038</v>
      </c>
      <c r="D2027" s="1019"/>
      <c r="E2027" s="1019"/>
      <c r="F2027" s="1019"/>
      <c r="G2027" s="389" t="s">
        <v>55</v>
      </c>
      <c r="H2027" s="584">
        <v>2</v>
      </c>
      <c r="I2027" s="582"/>
      <c r="J2027" s="582"/>
      <c r="K2027" s="583"/>
      <c r="L2027" s="583"/>
      <c r="M2027" s="583"/>
      <c r="N2027" s="589"/>
      <c r="O2027" s="589"/>
    </row>
    <row r="2028" spans="1:15" ht="33.75" customHeight="1">
      <c r="A2028" s="377">
        <f>ORÇAMENTO!A222</f>
        <v>95676</v>
      </c>
      <c r="B2028" s="377" t="str">
        <f>ORÇAMENTO!C222</f>
        <v>13.01.10</v>
      </c>
      <c r="C2028" s="1047" t="str">
        <f>ORÇAMENTO!D222</f>
        <v>CAIXA EM CONCRETO PRÉ-MOLDADO PARA ABRIGO DE HIDRÔMETRO COM DN 20 (½) FORNECIMENTO E INSTALAÇÃO. AF_11/2016</v>
      </c>
      <c r="D2028" s="1047"/>
      <c r="E2028" s="1047"/>
      <c r="F2028" s="1047"/>
      <c r="G2028" s="377" t="str">
        <f>ORÇAMENTO!E222</f>
        <v xml:space="preserve">UN </v>
      </c>
      <c r="H2028" s="383">
        <f>H2029</f>
        <v>1</v>
      </c>
      <c r="I2028" s="379"/>
      <c r="J2028" s="380"/>
      <c r="K2028" s="379"/>
      <c r="L2028" s="380"/>
      <c r="M2028" s="379"/>
      <c r="N2028" s="380"/>
      <c r="O2028" s="379"/>
    </row>
    <row r="2029" spans="1:15">
      <c r="A2029" s="342"/>
      <c r="B2029" s="342"/>
      <c r="C2029" s="1019" t="s">
        <v>2038</v>
      </c>
      <c r="D2029" s="1019"/>
      <c r="E2029" s="1019"/>
      <c r="F2029" s="1019"/>
      <c r="G2029" s="389" t="s">
        <v>55</v>
      </c>
      <c r="H2029" s="584">
        <v>1</v>
      </c>
      <c r="I2029" s="582"/>
      <c r="J2029" s="582"/>
      <c r="K2029" s="583"/>
      <c r="L2029" s="583"/>
      <c r="M2029" s="583"/>
      <c r="N2029" s="589"/>
      <c r="O2029" s="589"/>
    </row>
    <row r="2030" spans="1:15" ht="27" customHeight="1">
      <c r="A2030" s="377">
        <f>ORÇAMENTO!A223</f>
        <v>95674</v>
      </c>
      <c r="B2030" s="377" t="str">
        <f>ORÇAMENTO!C223</f>
        <v>13.01.11</v>
      </c>
      <c r="C2030" s="1047" t="str">
        <f>ORÇAMENTO!D223</f>
        <v xml:space="preserve">HIDRÔMETRO DN 20 (½), 3,0 M³/H FORNECIMENTO E INSTALAÇÃO. AF_11/2016 </v>
      </c>
      <c r="D2030" s="1047"/>
      <c r="E2030" s="1047"/>
      <c r="F2030" s="1047"/>
      <c r="G2030" s="377" t="str">
        <f>ORÇAMENTO!E223</f>
        <v xml:space="preserve">UN </v>
      </c>
      <c r="H2030" s="383">
        <f>H2031</f>
        <v>1</v>
      </c>
      <c r="I2030" s="379"/>
      <c r="J2030" s="380"/>
      <c r="K2030" s="379"/>
      <c r="L2030" s="380"/>
      <c r="M2030" s="379"/>
      <c r="N2030" s="380"/>
      <c r="O2030" s="379"/>
    </row>
    <row r="2031" spans="1:15">
      <c r="A2031" s="342"/>
      <c r="B2031" s="342"/>
      <c r="C2031" s="1019" t="s">
        <v>2038</v>
      </c>
      <c r="D2031" s="1019"/>
      <c r="E2031" s="1019"/>
      <c r="F2031" s="1019"/>
      <c r="G2031" s="389" t="s">
        <v>55</v>
      </c>
      <c r="H2031" s="584">
        <v>1</v>
      </c>
      <c r="I2031" s="582"/>
      <c r="J2031" s="582"/>
      <c r="K2031" s="583"/>
      <c r="L2031" s="583"/>
      <c r="M2031" s="583"/>
      <c r="N2031" s="589"/>
      <c r="O2031" s="589"/>
    </row>
    <row r="2032" spans="1:15" ht="36.75" customHeight="1">
      <c r="A2032" s="377">
        <f>ORÇAMENTO!A224</f>
        <v>96846</v>
      </c>
      <c r="B2032" s="377" t="str">
        <f>ORÇAMENTO!C224</f>
        <v>13.01.12</v>
      </c>
      <c r="C2032" s="1020" t="str">
        <f>ORÇAMENTO!D224</f>
        <v>JOELHO 90 GRAUS, ROSCA FÊMEA TERMINAL, METÁLICO, PARA INSTALAÇÕES EM PEX, DN 25 MM X 3/4", CONEXÃO POR ANEL DESLIZANTE FORNECIMENTO E INSTALAÇÃO. AF_06/2015</v>
      </c>
      <c r="D2032" s="1020"/>
      <c r="E2032" s="1020"/>
      <c r="F2032" s="1020"/>
      <c r="G2032" s="377" t="str">
        <f>ORÇAMENTO!E224</f>
        <v xml:space="preserve">UN </v>
      </c>
      <c r="H2032" s="383">
        <f>SUM(H2033:H2033)</f>
        <v>4</v>
      </c>
      <c r="I2032" s="379"/>
      <c r="J2032" s="380"/>
      <c r="K2032" s="379"/>
      <c r="L2032" s="380"/>
      <c r="M2032" s="379"/>
      <c r="N2032" s="380"/>
      <c r="O2032" s="379"/>
    </row>
    <row r="2033" spans="1:15">
      <c r="A2033" s="342"/>
      <c r="B2033" s="342"/>
      <c r="C2033" s="1019" t="s">
        <v>2038</v>
      </c>
      <c r="D2033" s="1019"/>
      <c r="E2033" s="1019"/>
      <c r="F2033" s="1019"/>
      <c r="G2033" s="389" t="s">
        <v>55</v>
      </c>
      <c r="H2033" s="584">
        <v>4</v>
      </c>
      <c r="I2033" s="582"/>
      <c r="J2033" s="582"/>
      <c r="K2033" s="583"/>
      <c r="L2033" s="583"/>
      <c r="M2033" s="583"/>
      <c r="N2033" s="589"/>
      <c r="O2033" s="589"/>
    </row>
    <row r="2034" spans="1:15" ht="44.25" customHeight="1">
      <c r="A2034" s="377">
        <f>ORÇAMENTO!A225</f>
        <v>89362</v>
      </c>
      <c r="B2034" s="377" t="str">
        <f>ORÇAMENTO!C225</f>
        <v>13.01.13</v>
      </c>
      <c r="C2034" s="1047" t="str">
        <f>ORÇAMENTO!D225</f>
        <v>JOELHO 90 GRAUS, PVC, SOLDÁVEL, DN 25MM, INSTALADO EM RAMAL OU SUB-RAMAL DE ÁGUA - FORNECIMENTO E INSTALAÇÃO. AF_12/2014_P</v>
      </c>
      <c r="D2034" s="1047"/>
      <c r="E2034" s="1047"/>
      <c r="F2034" s="1047"/>
      <c r="G2034" s="377" t="str">
        <f>ORÇAMENTO!E225</f>
        <v xml:space="preserve">UN </v>
      </c>
      <c r="H2034" s="383">
        <f>SUM(H2035:H2035)</f>
        <v>60</v>
      </c>
      <c r="I2034" s="379"/>
      <c r="J2034" s="380"/>
      <c r="K2034" s="379"/>
      <c r="L2034" s="380"/>
      <c r="M2034" s="379"/>
      <c r="N2034" s="380"/>
      <c r="O2034" s="379"/>
    </row>
    <row r="2035" spans="1:15">
      <c r="A2035" s="342"/>
      <c r="B2035" s="342"/>
      <c r="C2035" s="1019" t="s">
        <v>2038</v>
      </c>
      <c r="D2035" s="1019"/>
      <c r="E2035" s="1019"/>
      <c r="F2035" s="1019"/>
      <c r="G2035" s="389" t="s">
        <v>55</v>
      </c>
      <c r="H2035" s="584">
        <v>60</v>
      </c>
      <c r="I2035" s="582"/>
      <c r="J2035" s="582"/>
      <c r="K2035" s="583"/>
      <c r="L2035" s="583"/>
      <c r="M2035" s="583"/>
      <c r="N2035" s="589"/>
      <c r="O2035" s="589"/>
    </row>
    <row r="2036" spans="1:15" ht="39.75" customHeight="1">
      <c r="A2036" s="377">
        <f>ORÇAMENTO!A226</f>
        <v>89367</v>
      </c>
      <c r="B2036" s="377" t="str">
        <f>ORÇAMENTO!C226</f>
        <v>13.01.14</v>
      </c>
      <c r="C2036" s="1003" t="str">
        <f>ORÇAMENTO!D226</f>
        <v>JOELHO 90 GRAUS, PVC, SOLDÁVEL, DN 32MM, INSTALADO EM RAMAL OU SUB-RAMAL DE ÁGUA - FORNECIMENTO E INSTALAÇÃO. AF_12/2014_P</v>
      </c>
      <c r="D2036" s="1003"/>
      <c r="E2036" s="1003"/>
      <c r="F2036" s="1003"/>
      <c r="G2036" s="377" t="str">
        <f>ORÇAMENTO!E226</f>
        <v xml:space="preserve">UN </v>
      </c>
      <c r="H2036" s="383">
        <f>SUM(H2037:H2037)</f>
        <v>28</v>
      </c>
      <c r="I2036" s="379"/>
      <c r="J2036" s="380"/>
      <c r="K2036" s="379"/>
      <c r="L2036" s="380"/>
      <c r="M2036" s="379"/>
      <c r="N2036" s="380"/>
      <c r="O2036" s="379"/>
    </row>
    <row r="2037" spans="1:15">
      <c r="A2037" s="342"/>
      <c r="B2037" s="342"/>
      <c r="C2037" s="1019" t="s">
        <v>2038</v>
      </c>
      <c r="D2037" s="1019"/>
      <c r="E2037" s="1019"/>
      <c r="F2037" s="1019"/>
      <c r="G2037" s="389" t="s">
        <v>55</v>
      </c>
      <c r="H2037" s="584">
        <v>28</v>
      </c>
      <c r="I2037" s="582"/>
      <c r="J2037" s="582"/>
      <c r="K2037" s="583"/>
      <c r="L2037" s="583"/>
      <c r="M2037" s="583"/>
      <c r="N2037" s="589"/>
      <c r="O2037" s="589"/>
    </row>
    <row r="2038" spans="1:15" ht="23.25" customHeight="1">
      <c r="A2038" s="377">
        <f>ORÇAMENTO!A227</f>
        <v>1137</v>
      </c>
      <c r="B2038" s="377" t="str">
        <f>ORÇAMENTO!C227</f>
        <v>13.01.15</v>
      </c>
      <c r="C2038" s="1047" t="str">
        <f>ORÇAMENTO!D227</f>
        <v>JOELHO 90º DE PVC RÍGIDO SOLDÁVEL, MARROM DIÂM = 40MM</v>
      </c>
      <c r="D2038" s="1047"/>
      <c r="E2038" s="1047"/>
      <c r="F2038" s="1047"/>
      <c r="G2038" s="377" t="str">
        <f>ORÇAMENTO!E227</f>
        <v xml:space="preserve">UN </v>
      </c>
      <c r="H2038" s="383">
        <f>SUM(H2039:H2039)</f>
        <v>26</v>
      </c>
      <c r="I2038" s="379"/>
      <c r="J2038" s="380"/>
      <c r="K2038" s="379"/>
      <c r="L2038" s="380"/>
      <c r="M2038" s="379"/>
      <c r="N2038" s="380"/>
      <c r="O2038" s="379"/>
    </row>
    <row r="2039" spans="1:15">
      <c r="A2039" s="342"/>
      <c r="B2039" s="342"/>
      <c r="C2039" s="1019" t="s">
        <v>2038</v>
      </c>
      <c r="D2039" s="1019"/>
      <c r="E2039" s="1019"/>
      <c r="F2039" s="1019"/>
      <c r="G2039" s="389" t="s">
        <v>55</v>
      </c>
      <c r="H2039" s="584">
        <v>26</v>
      </c>
      <c r="I2039" s="582"/>
      <c r="J2039" s="582"/>
      <c r="K2039" s="583"/>
      <c r="L2039" s="583"/>
      <c r="M2039" s="583"/>
      <c r="N2039" s="589"/>
      <c r="O2039" s="589"/>
    </row>
    <row r="2040" spans="1:15" ht="24.75" customHeight="1">
      <c r="A2040" s="377">
        <f>ORÇAMENTO!A228</f>
        <v>89501</v>
      </c>
      <c r="B2040" s="377" t="str">
        <f>ORÇAMENTO!C228</f>
        <v>13.01.16</v>
      </c>
      <c r="C2040" s="1047" t="str">
        <f>ORÇAMENTO!D228</f>
        <v>JOELHO 90 GRAUS, PVC, SOLDÁVEL, DN 50MM, INSTALADO EM PRUMADA DE ÁGUA  FORNECIMENTO E INSTALAÇÃO.</v>
      </c>
      <c r="D2040" s="1047"/>
      <c r="E2040" s="1047"/>
      <c r="F2040" s="1047"/>
      <c r="G2040" s="377" t="str">
        <f>ORÇAMENTO!E228</f>
        <v xml:space="preserve">UN </v>
      </c>
      <c r="H2040" s="383">
        <f>SUM(H2041)</f>
        <v>18</v>
      </c>
      <c r="I2040" s="379"/>
      <c r="J2040" s="380"/>
      <c r="K2040" s="379"/>
      <c r="L2040" s="380"/>
      <c r="M2040" s="379"/>
      <c r="N2040" s="380"/>
      <c r="O2040" s="379"/>
    </row>
    <row r="2041" spans="1:15">
      <c r="A2041" s="342"/>
      <c r="B2041" s="342"/>
      <c r="C2041" s="1019" t="s">
        <v>2038</v>
      </c>
      <c r="D2041" s="1019"/>
      <c r="E2041" s="1019"/>
      <c r="F2041" s="1019"/>
      <c r="G2041" s="389" t="s">
        <v>55</v>
      </c>
      <c r="H2041" s="584">
        <v>18</v>
      </c>
      <c r="I2041" s="582"/>
      <c r="J2041" s="582"/>
      <c r="K2041" s="583"/>
      <c r="L2041" s="583"/>
      <c r="M2041" s="583"/>
      <c r="N2041" s="589"/>
      <c r="O2041" s="589"/>
    </row>
    <row r="2042" spans="1:15" ht="27" customHeight="1">
      <c r="A2042" s="377">
        <f>ORÇAMENTO!A229</f>
        <v>89513</v>
      </c>
      <c r="B2042" s="377" t="str">
        <f>ORÇAMENTO!C229</f>
        <v>13.01.17</v>
      </c>
      <c r="C2042" s="1047" t="str">
        <f>ORÇAMENTO!D229</f>
        <v>JOELHO 90 GRAUS, PVC, SOLDÁVEL, DN 75MM, INSTALADO EM PRUMADA DE ÁGUA  FORNECIMENTO E INSTALAÇÃO.</v>
      </c>
      <c r="D2042" s="1047"/>
      <c r="E2042" s="1047"/>
      <c r="F2042" s="1047"/>
      <c r="G2042" s="377" t="str">
        <f>ORÇAMENTO!E229</f>
        <v xml:space="preserve">UN </v>
      </c>
      <c r="H2042" s="383">
        <f>SUM(H2043:H2043)</f>
        <v>12</v>
      </c>
      <c r="I2042" s="379"/>
      <c r="J2042" s="380"/>
      <c r="K2042" s="379"/>
      <c r="L2042" s="380"/>
      <c r="M2042" s="379"/>
      <c r="N2042" s="380"/>
      <c r="O2042" s="379"/>
    </row>
    <row r="2043" spans="1:15">
      <c r="A2043" s="342"/>
      <c r="B2043" s="342"/>
      <c r="C2043" s="1019" t="s">
        <v>2038</v>
      </c>
      <c r="D2043" s="1019"/>
      <c r="E2043" s="1019"/>
      <c r="F2043" s="1019"/>
      <c r="G2043" s="389" t="s">
        <v>55</v>
      </c>
      <c r="H2043" s="584">
        <v>12</v>
      </c>
      <c r="I2043" s="582"/>
      <c r="J2043" s="582"/>
      <c r="K2043" s="583"/>
      <c r="L2043" s="583"/>
      <c r="M2043" s="583"/>
      <c r="N2043" s="589"/>
      <c r="O2043" s="589"/>
    </row>
    <row r="2044" spans="1:15" ht="35.25" customHeight="1">
      <c r="A2044" s="377">
        <f>ORÇAMENTO!A230</f>
        <v>89414</v>
      </c>
      <c r="B2044" s="377" t="str">
        <f>ORÇAMENTO!C230</f>
        <v>13.01.18</v>
      </c>
      <c r="C2044" s="1047" t="str">
        <f>ORÇAMENTO!D230</f>
        <v>JOELHO 45 GRAUS, PVC, SOLDÁVEL, DN 32MM, INSTALADO EM RAMAL DE DISTRIBUIÇÃO DE ÁGUA - FORNECIMENTO E INSTALAÇÃO. AF_12/2014</v>
      </c>
      <c r="D2044" s="1047"/>
      <c r="E2044" s="1047"/>
      <c r="F2044" s="1047"/>
      <c r="G2044" s="377" t="str">
        <f>ORÇAMENTO!E230</f>
        <v xml:space="preserve">UN </v>
      </c>
      <c r="H2044" s="383">
        <f>H2045</f>
        <v>8</v>
      </c>
      <c r="I2044" s="379"/>
      <c r="J2044" s="380"/>
      <c r="K2044" s="379"/>
      <c r="L2044" s="380"/>
      <c r="M2044" s="379"/>
      <c r="N2044" s="380"/>
      <c r="O2044" s="379"/>
    </row>
    <row r="2045" spans="1:15">
      <c r="A2045" s="342"/>
      <c r="B2045" s="342"/>
      <c r="C2045" s="1019" t="s">
        <v>2038</v>
      </c>
      <c r="D2045" s="1019"/>
      <c r="E2045" s="1019"/>
      <c r="F2045" s="1019"/>
      <c r="G2045" s="389" t="s">
        <v>55</v>
      </c>
      <c r="H2045" s="584">
        <v>8</v>
      </c>
      <c r="I2045" s="582"/>
      <c r="J2045" s="582"/>
      <c r="K2045" s="583"/>
      <c r="L2045" s="583"/>
      <c r="M2045" s="583"/>
      <c r="N2045" s="589"/>
      <c r="O2045" s="589"/>
    </row>
    <row r="2046" spans="1:15" ht="41.25" customHeight="1">
      <c r="A2046" s="377">
        <f>ORÇAMENTO!A231</f>
        <v>89530</v>
      </c>
      <c r="B2046" s="377" t="str">
        <f>ORÇAMENTO!C231</f>
        <v>13.01.19</v>
      </c>
      <c r="C2046" s="1003" t="str">
        <f>ORÇAMENTO!D231</f>
        <v>LUVA DE CORRER, PVC, SOLDÁVEL, DN 25MM, INSTALADO EM PRUMADA DE ÁGUA - FORNECIMENTO E INSTALAÇÃO. AF_12/2014</v>
      </c>
      <c r="D2046" s="1003"/>
      <c r="E2046" s="1003"/>
      <c r="F2046" s="1003"/>
      <c r="G2046" s="377" t="str">
        <f>ORÇAMENTO!E231</f>
        <v xml:space="preserve">UN </v>
      </c>
      <c r="H2046" s="383">
        <f>H2047</f>
        <v>20</v>
      </c>
      <c r="I2046" s="379"/>
      <c r="J2046" s="380"/>
      <c r="K2046" s="379"/>
      <c r="L2046" s="380"/>
      <c r="M2046" s="379"/>
      <c r="N2046" s="380"/>
      <c r="O2046" s="379"/>
    </row>
    <row r="2047" spans="1:15">
      <c r="A2047" s="342"/>
      <c r="B2047" s="342"/>
      <c r="C2047" s="1019" t="s">
        <v>2038</v>
      </c>
      <c r="D2047" s="1019"/>
      <c r="E2047" s="1019"/>
      <c r="F2047" s="1019"/>
      <c r="G2047" s="389" t="s">
        <v>55</v>
      </c>
      <c r="H2047" s="584">
        <v>20</v>
      </c>
      <c r="I2047" s="582"/>
      <c r="J2047" s="582"/>
      <c r="K2047" s="583"/>
      <c r="L2047" s="583"/>
      <c r="M2047" s="583"/>
      <c r="N2047" s="589"/>
      <c r="O2047" s="589"/>
    </row>
    <row r="2048" spans="1:15" ht="43.5" customHeight="1">
      <c r="A2048" s="377">
        <f>ORÇAMENTO!A232</f>
        <v>89814</v>
      </c>
      <c r="B2048" s="377" t="str">
        <f>ORÇAMENTO!C232</f>
        <v>13.01.20</v>
      </c>
      <c r="C2048" s="1003" t="str">
        <f>ORÇAMENTO!D232</f>
        <v>LUVA DE CORRER, PVC, SERIE NORMAL, ESGOTO PREDIAL, DN 50 MM, JUNTA ELÁSTICA, FORNECIDO E INSTALADO EM PRUMADA DE ESGOTO SANITÁRIO OU VENTILAÇÃO. AF_12/2014</v>
      </c>
      <c r="D2048" s="1003"/>
      <c r="E2048" s="1003"/>
      <c r="F2048" s="1003"/>
      <c r="G2048" s="377" t="str">
        <f>ORÇAMENTO!E232</f>
        <v xml:space="preserve">UN </v>
      </c>
      <c r="H2048" s="383">
        <f>H2049</f>
        <v>10</v>
      </c>
      <c r="I2048" s="379"/>
      <c r="J2048" s="380"/>
      <c r="K2048" s="379"/>
      <c r="L2048" s="380"/>
      <c r="M2048" s="379"/>
      <c r="N2048" s="380"/>
      <c r="O2048" s="379"/>
    </row>
    <row r="2049" spans="1:15">
      <c r="A2049" s="342"/>
      <c r="B2049" s="342"/>
      <c r="C2049" s="1019" t="s">
        <v>2038</v>
      </c>
      <c r="D2049" s="1019"/>
      <c r="E2049" s="1019"/>
      <c r="F2049" s="1019"/>
      <c r="G2049" s="389" t="s">
        <v>55</v>
      </c>
      <c r="H2049" s="584">
        <v>10</v>
      </c>
      <c r="I2049" s="582"/>
      <c r="J2049" s="582"/>
      <c r="K2049" s="583"/>
      <c r="L2049" s="583"/>
      <c r="M2049" s="583"/>
      <c r="N2049" s="589"/>
      <c r="O2049" s="589"/>
    </row>
    <row r="2050" spans="1:15" ht="27" customHeight="1">
      <c r="A2050" s="377">
        <f>ORÇAMENTO!A233</f>
        <v>1152</v>
      </c>
      <c r="B2050" s="377" t="str">
        <f>ORÇAMENTO!C233</f>
        <v>13.01.21</v>
      </c>
      <c r="C2050" s="1047" t="str">
        <f>ORÇAMENTO!D233</f>
        <v>LUVA DE PVC RÍGIDO SOLDÁVEL, MARROM DIÂM = 40MM</v>
      </c>
      <c r="D2050" s="1047"/>
      <c r="E2050" s="1047"/>
      <c r="F2050" s="1047"/>
      <c r="G2050" s="377" t="str">
        <f>ORÇAMENTO!E233</f>
        <v xml:space="preserve">UN </v>
      </c>
      <c r="H2050" s="383">
        <f>H2051</f>
        <v>10</v>
      </c>
      <c r="I2050" s="379"/>
      <c r="J2050" s="380"/>
      <c r="K2050" s="379"/>
      <c r="L2050" s="380"/>
      <c r="M2050" s="379"/>
      <c r="N2050" s="380"/>
      <c r="O2050" s="379"/>
    </row>
    <row r="2051" spans="1:15">
      <c r="A2051" s="342"/>
      <c r="B2051" s="342"/>
      <c r="C2051" s="1019" t="s">
        <v>2038</v>
      </c>
      <c r="D2051" s="1019"/>
      <c r="E2051" s="1019"/>
      <c r="F2051" s="1019"/>
      <c r="G2051" s="389" t="s">
        <v>55</v>
      </c>
      <c r="H2051" s="584">
        <v>10</v>
      </c>
      <c r="I2051" s="582"/>
      <c r="J2051" s="582"/>
      <c r="K2051" s="583"/>
      <c r="L2051" s="583"/>
      <c r="M2051" s="583"/>
      <c r="N2051" s="589"/>
      <c r="O2051" s="589"/>
    </row>
    <row r="2052" spans="1:15" ht="30.75" customHeight="1">
      <c r="A2052" s="377">
        <f>ORÇAMENTO!A234</f>
        <v>1151</v>
      </c>
      <c r="B2052" s="377" t="str">
        <f>ORÇAMENTO!C234</f>
        <v>13.01.22</v>
      </c>
      <c r="C2052" s="1047" t="str">
        <f>ORÇAMENTO!D234</f>
        <v>LUVA DE PVC RÍGIDO SOLDÁVEL, MARROM DIÂM = 32MM</v>
      </c>
      <c r="D2052" s="1047"/>
      <c r="E2052" s="1047"/>
      <c r="F2052" s="1047"/>
      <c r="G2052" s="377" t="str">
        <f>ORÇAMENTO!E234</f>
        <v xml:space="preserve">UN </v>
      </c>
      <c r="H2052" s="383">
        <f>SUM(H2053:H2053)</f>
        <v>16</v>
      </c>
      <c r="I2052" s="379"/>
      <c r="J2052" s="380"/>
      <c r="K2052" s="379"/>
      <c r="L2052" s="380"/>
      <c r="M2052" s="379"/>
      <c r="N2052" s="380"/>
      <c r="O2052" s="379"/>
    </row>
    <row r="2053" spans="1:15">
      <c r="A2053" s="342"/>
      <c r="B2053" s="342"/>
      <c r="C2053" s="1019" t="s">
        <v>2038</v>
      </c>
      <c r="D2053" s="1019"/>
      <c r="E2053" s="1019"/>
      <c r="F2053" s="1019"/>
      <c r="G2053" s="389" t="s">
        <v>55</v>
      </c>
      <c r="H2053" s="584">
        <v>16</v>
      </c>
      <c r="I2053" s="582"/>
      <c r="J2053" s="582"/>
      <c r="K2053" s="583"/>
      <c r="L2053" s="583"/>
      <c r="M2053" s="583"/>
      <c r="N2053" s="589"/>
      <c r="O2053" s="589"/>
    </row>
    <row r="2054" spans="1:15" ht="31.5" customHeight="1">
      <c r="A2054" s="377">
        <f>ORÇAMENTO!A235</f>
        <v>1074</v>
      </c>
      <c r="B2054" s="377" t="str">
        <f>ORÇAMENTO!C235</f>
        <v>13.01.23</v>
      </c>
      <c r="C2054" s="1047" t="str">
        <f>ORÇAMENTO!D235</f>
        <v>BUCHA DE REDUCAO CURTA DE PVC RIGIDO SOLDAVEL MARROM, DIAM=50 X 40 MM</v>
      </c>
      <c r="D2054" s="1047"/>
      <c r="E2054" s="1047"/>
      <c r="F2054" s="1047"/>
      <c r="G2054" s="377" t="str">
        <f>ORÇAMENTO!E235</f>
        <v xml:space="preserve">UN </v>
      </c>
      <c r="H2054" s="383">
        <f>SUM(H2055:H2055)</f>
        <v>6</v>
      </c>
      <c r="I2054" s="379"/>
      <c r="J2054" s="380"/>
      <c r="K2054" s="379"/>
      <c r="L2054" s="380"/>
      <c r="M2054" s="379"/>
      <c r="N2054" s="380"/>
      <c r="O2054" s="379"/>
    </row>
    <row r="2055" spans="1:15">
      <c r="A2055" s="342"/>
      <c r="B2055" s="342"/>
      <c r="C2055" s="1019" t="s">
        <v>2038</v>
      </c>
      <c r="D2055" s="1019"/>
      <c r="E2055" s="1019"/>
      <c r="F2055" s="1019"/>
      <c r="G2055" s="389" t="s">
        <v>55</v>
      </c>
      <c r="H2055" s="584">
        <v>6</v>
      </c>
      <c r="I2055" s="582"/>
      <c r="J2055" s="582"/>
      <c r="K2055" s="583"/>
      <c r="L2055" s="583"/>
      <c r="M2055" s="583"/>
      <c r="N2055" s="589"/>
      <c r="O2055" s="589"/>
    </row>
    <row r="2056" spans="1:15" ht="25.5" customHeight="1">
      <c r="A2056" s="377">
        <f>ORÇAMENTO!A236</f>
        <v>1160</v>
      </c>
      <c r="B2056" s="377" t="str">
        <f>ORÇAMENTO!C236</f>
        <v>13.01.24</v>
      </c>
      <c r="C2056" s="1047" t="str">
        <f>ORÇAMENTO!D236</f>
        <v>LUVA DE REDUÇÃO DE PVC RÍGIDO SOLDÁVEL, MARROM, DIÂM = 40 X 32MM</v>
      </c>
      <c r="D2056" s="1047"/>
      <c r="E2056" s="1047"/>
      <c r="F2056" s="1047"/>
      <c r="G2056" s="377" t="str">
        <f>ORÇAMENTO!E236</f>
        <v xml:space="preserve">UN </v>
      </c>
      <c r="H2056" s="383">
        <f>H2057</f>
        <v>12</v>
      </c>
      <c r="I2056" s="379"/>
      <c r="J2056" s="380"/>
      <c r="K2056" s="379"/>
      <c r="L2056" s="380"/>
      <c r="M2056" s="379"/>
      <c r="N2056" s="380"/>
      <c r="O2056" s="379"/>
    </row>
    <row r="2057" spans="1:15">
      <c r="A2057" s="342"/>
      <c r="B2057" s="342"/>
      <c r="C2057" s="1019" t="s">
        <v>2038</v>
      </c>
      <c r="D2057" s="1019"/>
      <c r="E2057" s="1019"/>
      <c r="F2057" s="1019"/>
      <c r="G2057" s="389" t="s">
        <v>55</v>
      </c>
      <c r="H2057" s="584">
        <v>12</v>
      </c>
      <c r="I2057" s="582"/>
      <c r="J2057" s="582"/>
      <c r="K2057" s="583"/>
      <c r="L2057" s="583"/>
      <c r="M2057" s="583"/>
      <c r="N2057" s="589"/>
      <c r="O2057" s="589"/>
    </row>
    <row r="2058" spans="1:15" ht="34.5" customHeight="1">
      <c r="A2058" s="377">
        <f>ORÇAMENTO!A237</f>
        <v>1159</v>
      </c>
      <c r="B2058" s="377" t="str">
        <f>ORÇAMENTO!C237</f>
        <v>13.01.25</v>
      </c>
      <c r="C2058" s="1047" t="str">
        <f>ORÇAMENTO!D237</f>
        <v>LUVA DE REDUÇÃO DE PVC RÍGIDO SOLDÁVEL, MARROM, DIÂM = 32 X 25MM</v>
      </c>
      <c r="D2058" s="1047"/>
      <c r="E2058" s="1047"/>
      <c r="F2058" s="1047"/>
      <c r="G2058" s="377" t="str">
        <f>ORÇAMENTO!E237</f>
        <v xml:space="preserve">UN </v>
      </c>
      <c r="H2058" s="383">
        <f>SUM(H2059:H2059)</f>
        <v>18</v>
      </c>
      <c r="I2058" s="379"/>
      <c r="J2058" s="380"/>
      <c r="K2058" s="379"/>
      <c r="L2058" s="380"/>
      <c r="M2058" s="379"/>
      <c r="N2058" s="380"/>
      <c r="O2058" s="379"/>
    </row>
    <row r="2059" spans="1:15">
      <c r="A2059" s="342"/>
      <c r="B2059" s="342"/>
      <c r="C2059" s="1019" t="s">
        <v>2038</v>
      </c>
      <c r="D2059" s="1019"/>
      <c r="E2059" s="1019"/>
      <c r="F2059" s="1019"/>
      <c r="G2059" s="389" t="s">
        <v>55</v>
      </c>
      <c r="H2059" s="584">
        <v>18</v>
      </c>
      <c r="I2059" s="582"/>
      <c r="J2059" s="582"/>
      <c r="K2059" s="583"/>
      <c r="L2059" s="583"/>
      <c r="M2059" s="583"/>
      <c r="N2059" s="589"/>
      <c r="O2059" s="589"/>
    </row>
    <row r="2060" spans="1:15" ht="24" customHeight="1">
      <c r="A2060" s="377">
        <f>ORÇAMENTO!A238</f>
        <v>1161</v>
      </c>
      <c r="B2060" s="377" t="str">
        <f>ORÇAMENTO!C238</f>
        <v>13.01.26</v>
      </c>
      <c r="C2060" s="1047" t="str">
        <f>ORÇAMENTO!D238</f>
        <v>LUVA DE REDUÇÃO DE PVC RÍGIDO SOLDÁVEL, MARROM, DIÂM = 60 X 50MM</v>
      </c>
      <c r="D2060" s="1047"/>
      <c r="E2060" s="1047"/>
      <c r="F2060" s="1047"/>
      <c r="G2060" s="377" t="str">
        <f>ORÇAMENTO!E238</f>
        <v xml:space="preserve">UN </v>
      </c>
      <c r="H2060" s="383">
        <f>SUM(H2061:H2061)</f>
        <v>16</v>
      </c>
      <c r="I2060" s="379"/>
      <c r="J2060" s="380"/>
      <c r="K2060" s="379"/>
      <c r="L2060" s="380"/>
      <c r="M2060" s="379"/>
      <c r="N2060" s="380"/>
      <c r="O2060" s="379"/>
    </row>
    <row r="2061" spans="1:15">
      <c r="A2061" s="342"/>
      <c r="B2061" s="342"/>
      <c r="C2061" s="1019" t="s">
        <v>2038</v>
      </c>
      <c r="D2061" s="1019"/>
      <c r="E2061" s="1019"/>
      <c r="F2061" s="1019"/>
      <c r="G2061" s="389" t="s">
        <v>55</v>
      </c>
      <c r="H2061" s="584">
        <v>16</v>
      </c>
      <c r="I2061" s="582"/>
      <c r="J2061" s="582"/>
      <c r="K2061" s="583"/>
      <c r="L2061" s="583"/>
      <c r="M2061" s="583"/>
      <c r="N2061" s="589"/>
      <c r="O2061" s="589"/>
    </row>
    <row r="2062" spans="1:15" ht="24" customHeight="1">
      <c r="A2062" s="377">
        <f>ORÇAMENTO!A239</f>
        <v>9500</v>
      </c>
      <c r="B2062" s="377" t="str">
        <f>ORÇAMENTO!C239</f>
        <v>13.01.27</v>
      </c>
      <c r="C2062" s="1047" t="str">
        <f>ORÇAMENTO!D239</f>
        <v>REGISTRO GAVETA C/CANOPLA CROMADA, 3/4", LINHA LINK, DECA OU SIMILAR</v>
      </c>
      <c r="D2062" s="1047"/>
      <c r="E2062" s="1047"/>
      <c r="F2062" s="1047"/>
      <c r="G2062" s="377" t="str">
        <f>ORÇAMENTO!E239</f>
        <v xml:space="preserve">UN </v>
      </c>
      <c r="H2062" s="383">
        <f>SUM(H2063:H2063)</f>
        <v>18</v>
      </c>
      <c r="I2062" s="379"/>
      <c r="J2062" s="380"/>
      <c r="K2062" s="379"/>
      <c r="L2062" s="380"/>
      <c r="M2062" s="379"/>
      <c r="N2062" s="380"/>
      <c r="O2062" s="379"/>
    </row>
    <row r="2063" spans="1:15">
      <c r="A2063" s="342"/>
      <c r="B2063" s="342"/>
      <c r="C2063" s="1019" t="s">
        <v>2038</v>
      </c>
      <c r="D2063" s="1019"/>
      <c r="E2063" s="1019"/>
      <c r="F2063" s="1019"/>
      <c r="G2063" s="389" t="s">
        <v>55</v>
      </c>
      <c r="H2063" s="584">
        <v>18</v>
      </c>
      <c r="I2063" s="582"/>
      <c r="J2063" s="582"/>
      <c r="K2063" s="583"/>
      <c r="L2063" s="583"/>
      <c r="M2063" s="583"/>
      <c r="N2063" s="589"/>
      <c r="O2063" s="589"/>
    </row>
    <row r="2064" spans="1:15">
      <c r="A2064" s="377">
        <f>ORÇAMENTO!A240</f>
        <v>3201</v>
      </c>
      <c r="B2064" s="377" t="str">
        <f>ORÇAMENTO!C240</f>
        <v>13.01.28</v>
      </c>
      <c r="C2064" s="1047" t="str">
        <f>ORÇAMENTO!D240</f>
        <v xml:space="preserve">REGISTRO TIPO ESFERA EM PVC C/BORBOLETA, D = 3/4" </v>
      </c>
      <c r="D2064" s="1047"/>
      <c r="E2064" s="1047"/>
      <c r="F2064" s="1047"/>
      <c r="G2064" s="377" t="str">
        <f>ORÇAMENTO!E240</f>
        <v xml:space="preserve">UN </v>
      </c>
      <c r="H2064" s="383">
        <f>H2065</f>
        <v>12</v>
      </c>
      <c r="I2064" s="379"/>
      <c r="J2064" s="380"/>
      <c r="K2064" s="379"/>
      <c r="L2064" s="380"/>
      <c r="M2064" s="379"/>
      <c r="N2064" s="380"/>
      <c r="O2064" s="379"/>
    </row>
    <row r="2065" spans="1:15">
      <c r="A2065" s="342"/>
      <c r="B2065" s="342"/>
      <c r="C2065" s="1019" t="s">
        <v>2038</v>
      </c>
      <c r="D2065" s="1019"/>
      <c r="E2065" s="1019"/>
      <c r="F2065" s="1019"/>
      <c r="G2065" s="389" t="s">
        <v>55</v>
      </c>
      <c r="H2065" s="584">
        <v>12</v>
      </c>
      <c r="I2065" s="582"/>
      <c r="J2065" s="582"/>
      <c r="K2065" s="583"/>
      <c r="L2065" s="583"/>
      <c r="M2065" s="583"/>
      <c r="N2065" s="589"/>
      <c r="O2065" s="589"/>
    </row>
    <row r="2066" spans="1:15" ht="27" customHeight="1">
      <c r="A2066" s="377">
        <f>ORÇAMENTO!A241</f>
        <v>90371</v>
      </c>
      <c r="B2066" s="377" t="str">
        <f>ORÇAMENTO!C241</f>
        <v>13.01.29</v>
      </c>
      <c r="C2066" s="1047" t="str">
        <f>ORÇAMENTO!D241</f>
        <v>REGISTRO DE ESFERA, PVC, ROSCÁVEL, 3/4", FORNECIDO E INSTALADO EM RAMAL DE ÁGUA. AF_03/2015</v>
      </c>
      <c r="D2066" s="1047"/>
      <c r="E2066" s="1047"/>
      <c r="F2066" s="1047"/>
      <c r="G2066" s="377" t="str">
        <f>ORÇAMENTO!E241</f>
        <v xml:space="preserve">UN </v>
      </c>
      <c r="H2066" s="383">
        <f>H2067</f>
        <v>10</v>
      </c>
      <c r="I2066" s="379"/>
      <c r="J2066" s="380"/>
      <c r="K2066" s="379"/>
      <c r="L2066" s="380"/>
      <c r="M2066" s="379"/>
      <c r="N2066" s="380"/>
      <c r="O2066" s="379"/>
    </row>
    <row r="2067" spans="1:15">
      <c r="A2067" s="342"/>
      <c r="B2067" s="342"/>
      <c r="C2067" s="1019" t="s">
        <v>2038</v>
      </c>
      <c r="D2067" s="1019"/>
      <c r="E2067" s="1019"/>
      <c r="F2067" s="1019"/>
      <c r="G2067" s="389" t="s">
        <v>55</v>
      </c>
      <c r="H2067" s="584">
        <v>10</v>
      </c>
      <c r="I2067" s="582"/>
      <c r="J2067" s="582"/>
      <c r="K2067" s="583"/>
      <c r="L2067" s="583"/>
      <c r="M2067" s="583"/>
      <c r="N2067" s="589"/>
      <c r="O2067" s="589"/>
    </row>
    <row r="2068" spans="1:15" ht="37.5" customHeight="1">
      <c r="A2068" s="377">
        <f>ORÇAMENTO!A242</f>
        <v>94498</v>
      </c>
      <c r="B2068" s="377" t="str">
        <f>ORÇAMENTO!C242</f>
        <v>13.01.30</v>
      </c>
      <c r="C2068" s="1047" t="str">
        <f>ORÇAMENTO!D242</f>
        <v>REGISTRO DE GAVETA BRUTO, LATÃO, ROSCÁVEL, 2?, INSTALADO EM RESERVAÇÃO DE ÁGUA DE EDIFICAÇÃO QUE POSSUA RESERVATÓRIO DE FIBRA/FIBROCIMENTO ? FORNECIMENTO E INSTALAÇÃO. AF_06/2016</v>
      </c>
      <c r="D2068" s="1047"/>
      <c r="E2068" s="1047"/>
      <c r="F2068" s="1047"/>
      <c r="G2068" s="377" t="str">
        <f>ORÇAMENTO!E242</f>
        <v xml:space="preserve">UN </v>
      </c>
      <c r="H2068" s="383">
        <f>H2069</f>
        <v>6</v>
      </c>
      <c r="I2068" s="379"/>
      <c r="J2068" s="380"/>
      <c r="K2068" s="379"/>
      <c r="L2068" s="380"/>
      <c r="M2068" s="379"/>
      <c r="N2068" s="380"/>
      <c r="O2068" s="379"/>
    </row>
    <row r="2069" spans="1:15">
      <c r="A2069" s="342"/>
      <c r="B2069" s="342"/>
      <c r="C2069" s="1019" t="s">
        <v>2038</v>
      </c>
      <c r="D2069" s="1019"/>
      <c r="E2069" s="1019"/>
      <c r="F2069" s="1019"/>
      <c r="G2069" s="389" t="s">
        <v>55</v>
      </c>
      <c r="H2069" s="584">
        <v>6</v>
      </c>
      <c r="I2069" s="582"/>
      <c r="J2069" s="582"/>
      <c r="K2069" s="583"/>
      <c r="L2069" s="583"/>
      <c r="M2069" s="583"/>
      <c r="N2069" s="589"/>
      <c r="O2069" s="589"/>
    </row>
    <row r="2070" spans="1:15" ht="25.5" customHeight="1">
      <c r="A2070" s="377">
        <f>ORÇAMENTO!A243</f>
        <v>7594</v>
      </c>
      <c r="B2070" s="377" t="str">
        <f>ORÇAMENTO!C243</f>
        <v>13.01.31</v>
      </c>
      <c r="C2070" s="1047" t="str">
        <f>ORÇAMENTO!D243</f>
        <v xml:space="preserve">TERMINAL DE VENTILAÇÃO EM PVC RÍGIDO SOLDÁVEL, PARA ESGOTO PRIMÁRIO, DIÂM = 75MM </v>
      </c>
      <c r="D2070" s="1047"/>
      <c r="E2070" s="1047"/>
      <c r="F2070" s="1047"/>
      <c r="G2070" s="377" t="str">
        <f>ORÇAMENTO!E243</f>
        <v xml:space="preserve">UN </v>
      </c>
      <c r="H2070" s="383">
        <f>H2071</f>
        <v>6</v>
      </c>
      <c r="I2070" s="379"/>
      <c r="J2070" s="380"/>
      <c r="K2070" s="379"/>
      <c r="L2070" s="380"/>
      <c r="M2070" s="379"/>
      <c r="N2070" s="380"/>
      <c r="O2070" s="379"/>
    </row>
    <row r="2071" spans="1:15">
      <c r="A2071" s="342"/>
      <c r="B2071" s="342"/>
      <c r="C2071" s="1019" t="s">
        <v>2038</v>
      </c>
      <c r="D2071" s="1019"/>
      <c r="E2071" s="1019"/>
      <c r="F2071" s="1019"/>
      <c r="G2071" s="673"/>
      <c r="H2071" s="584">
        <v>6</v>
      </c>
      <c r="I2071" s="582"/>
      <c r="J2071" s="582"/>
      <c r="K2071" s="583"/>
      <c r="L2071" s="583"/>
      <c r="M2071" s="583"/>
      <c r="N2071" s="589"/>
      <c r="O2071" s="589"/>
    </row>
    <row r="2072" spans="1:15" ht="25.5" customHeight="1">
      <c r="A2072" s="377">
        <f>ORÇAMENTO!A244</f>
        <v>89395</v>
      </c>
      <c r="B2072" s="377" t="str">
        <f>ORÇAMENTO!C244</f>
        <v>13.01.32</v>
      </c>
      <c r="C2072" s="1047" t="str">
        <f>ORÇAMENTO!D244</f>
        <v>TE, PVC, SOLDÁVEL, DN 25MM, INSTALADO EM RAMAL OU SUB-RAMAL DE ÁGUA FORNECIMENTO E INSTALAÇÃO. AF_12/2014_P</v>
      </c>
      <c r="D2072" s="1047"/>
      <c r="E2072" s="1047"/>
      <c r="F2072" s="1047"/>
      <c r="G2072" s="377" t="str">
        <f>ORÇAMENTO!E244</f>
        <v xml:space="preserve">UN </v>
      </c>
      <c r="H2072" s="383">
        <f>SUM(H2073:H2073)</f>
        <v>3</v>
      </c>
      <c r="I2072" s="379"/>
      <c r="J2072" s="380"/>
      <c r="K2072" s="379"/>
      <c r="L2072" s="380"/>
      <c r="M2072" s="379"/>
      <c r="N2072" s="380"/>
      <c r="O2072" s="379"/>
    </row>
    <row r="2073" spans="1:15">
      <c r="A2073" s="342"/>
      <c r="B2073" s="342"/>
      <c r="C2073" s="1019" t="s">
        <v>2038</v>
      </c>
      <c r="D2073" s="1019"/>
      <c r="E2073" s="1019"/>
      <c r="F2073" s="1019"/>
      <c r="G2073" s="389" t="s">
        <v>55</v>
      </c>
      <c r="H2073" s="584">
        <v>3</v>
      </c>
      <c r="I2073" s="582"/>
      <c r="J2073" s="582"/>
      <c r="K2073" s="583"/>
      <c r="L2073" s="583"/>
      <c r="M2073" s="583"/>
      <c r="N2073" s="589"/>
      <c r="O2073" s="589"/>
    </row>
    <row r="2074" spans="1:15" ht="24" customHeight="1">
      <c r="A2074" s="377">
        <f>ORÇAMENTO!A245</f>
        <v>89398</v>
      </c>
      <c r="B2074" s="377" t="str">
        <f>ORÇAMENTO!C245</f>
        <v>13.01.33</v>
      </c>
      <c r="C2074" s="1047" t="str">
        <f>ORÇAMENTO!D245</f>
        <v>TE, PVC, SOLDÁVEL, DN 32MM, INSTALADO EM RAMAL OU SUB-RAMAL DE ÁGUA - FORNECIMENTO E INSTALAÇÃO. AF_12/2014_P</v>
      </c>
      <c r="D2074" s="1047"/>
      <c r="E2074" s="1047"/>
      <c r="F2074" s="1047"/>
      <c r="G2074" s="377" t="str">
        <f>ORÇAMENTO!E245</f>
        <v xml:space="preserve">UN </v>
      </c>
      <c r="H2074" s="383">
        <f>SUM(H2075:H2075)</f>
        <v>12</v>
      </c>
      <c r="I2074" s="379"/>
      <c r="J2074" s="380"/>
      <c r="K2074" s="379"/>
      <c r="L2074" s="380"/>
      <c r="M2074" s="379"/>
      <c r="N2074" s="380"/>
      <c r="O2074" s="379"/>
    </row>
    <row r="2075" spans="1:15">
      <c r="A2075" s="342"/>
      <c r="B2075" s="342"/>
      <c r="C2075" s="1019" t="s">
        <v>2038</v>
      </c>
      <c r="D2075" s="1019"/>
      <c r="E2075" s="1019"/>
      <c r="F2075" s="1019"/>
      <c r="G2075" s="389" t="s">
        <v>55</v>
      </c>
      <c r="H2075" s="584">
        <v>12</v>
      </c>
      <c r="I2075" s="582"/>
      <c r="J2075" s="582"/>
      <c r="K2075" s="583"/>
      <c r="L2075" s="583"/>
      <c r="M2075" s="583"/>
      <c r="N2075" s="589"/>
      <c r="O2075" s="589"/>
    </row>
    <row r="2076" spans="1:15">
      <c r="A2076" s="377">
        <f>ORÇAMENTO!A246</f>
        <v>1170</v>
      </c>
      <c r="B2076" s="377" t="str">
        <f>ORÇAMENTO!C246</f>
        <v>13.01.34</v>
      </c>
      <c r="C2076" s="1047" t="str">
        <f>ORÇAMENTO!D246</f>
        <v>TÊ 90º DE PVC RÍGIDO SOLDÁVEL, MARROM DIÂM = 40MM</v>
      </c>
      <c r="D2076" s="1047"/>
      <c r="E2076" s="1047"/>
      <c r="F2076" s="1047"/>
      <c r="G2076" s="377" t="str">
        <f>ORÇAMENTO!E246</f>
        <v xml:space="preserve">UN </v>
      </c>
      <c r="H2076" s="383">
        <f>H2077</f>
        <v>6</v>
      </c>
      <c r="I2076" s="379"/>
      <c r="J2076" s="380"/>
      <c r="K2076" s="379"/>
      <c r="L2076" s="380"/>
      <c r="M2076" s="379"/>
      <c r="N2076" s="380"/>
      <c r="O2076" s="379"/>
    </row>
    <row r="2077" spans="1:15">
      <c r="A2077" s="342"/>
      <c r="B2077" s="342"/>
      <c r="C2077" s="1019" t="s">
        <v>2038</v>
      </c>
      <c r="D2077" s="1019"/>
      <c r="E2077" s="1019"/>
      <c r="F2077" s="1019"/>
      <c r="G2077" s="389" t="s">
        <v>55</v>
      </c>
      <c r="H2077" s="584">
        <v>6</v>
      </c>
      <c r="I2077" s="582"/>
      <c r="J2077" s="582"/>
      <c r="K2077" s="583"/>
      <c r="L2077" s="583"/>
      <c r="M2077" s="583"/>
      <c r="N2077" s="589"/>
      <c r="O2077" s="589"/>
    </row>
    <row r="2078" spans="1:15">
      <c r="A2078" s="377" t="str">
        <f>ORÇAMENTO!A247</f>
        <v>I-0007094</v>
      </c>
      <c r="B2078" s="377" t="str">
        <f>ORÇAMENTO!C247</f>
        <v>13.01.35</v>
      </c>
      <c r="C2078" s="1047" t="str">
        <f>ORÇAMENTO!D247</f>
        <v>TE PVC ROSCAVEL 90 GRAUS, 1", PARA AGUA FRIA PREDIAL</v>
      </c>
      <c r="D2078" s="1047"/>
      <c r="E2078" s="1047"/>
      <c r="F2078" s="1047"/>
      <c r="G2078" s="377" t="str">
        <f>ORÇAMENTO!E247</f>
        <v xml:space="preserve">UN </v>
      </c>
      <c r="H2078" s="383">
        <f>H2079</f>
        <v>12</v>
      </c>
      <c r="I2078" s="379"/>
      <c r="J2078" s="380"/>
      <c r="K2078" s="379"/>
      <c r="L2078" s="380"/>
      <c r="M2078" s="379"/>
      <c r="N2078" s="380"/>
      <c r="O2078" s="379"/>
    </row>
    <row r="2079" spans="1:15">
      <c r="A2079" s="342"/>
      <c r="B2079" s="342"/>
      <c r="C2079" s="1019" t="s">
        <v>2038</v>
      </c>
      <c r="D2079" s="1019"/>
      <c r="E2079" s="1019"/>
      <c r="F2079" s="1019"/>
      <c r="G2079" s="389" t="s">
        <v>55</v>
      </c>
      <c r="H2079" s="584">
        <v>12</v>
      </c>
      <c r="I2079" s="582"/>
      <c r="J2079" s="582"/>
      <c r="K2079" s="583"/>
      <c r="L2079" s="583"/>
      <c r="M2079" s="583"/>
      <c r="N2079" s="589"/>
      <c r="O2079" s="589"/>
    </row>
    <row r="2080" spans="1:15">
      <c r="A2080" s="377">
        <f>ORÇAMENTO!A248</f>
        <v>1171</v>
      </c>
      <c r="B2080" s="377" t="str">
        <f>ORÇAMENTO!C248</f>
        <v>13.01.36</v>
      </c>
      <c r="C2080" s="1047" t="str">
        <f>ORÇAMENTO!D248</f>
        <v>TÊ 90º DE PVC RÍGIDO SOLDÁVEL, MARROM DIÂM = 50MM</v>
      </c>
      <c r="D2080" s="1047"/>
      <c r="E2080" s="1047"/>
      <c r="F2080" s="1047"/>
      <c r="G2080" s="377" t="str">
        <f>ORÇAMENTO!E248</f>
        <v xml:space="preserve">UN </v>
      </c>
      <c r="H2080" s="383">
        <f>H2081</f>
        <v>6</v>
      </c>
      <c r="I2080" s="379"/>
      <c r="J2080" s="380"/>
      <c r="K2080" s="379"/>
      <c r="L2080" s="380"/>
      <c r="M2080" s="379"/>
      <c r="N2080" s="380"/>
      <c r="O2080" s="379"/>
    </row>
    <row r="2081" spans="1:15">
      <c r="A2081" s="342"/>
      <c r="B2081" s="342"/>
      <c r="C2081" s="1019" t="s">
        <v>2038</v>
      </c>
      <c r="D2081" s="1019"/>
      <c r="E2081" s="1019"/>
      <c r="F2081" s="1019"/>
      <c r="G2081" s="389" t="s">
        <v>55</v>
      </c>
      <c r="H2081" s="584">
        <v>6</v>
      </c>
      <c r="I2081" s="582"/>
      <c r="J2081" s="582"/>
      <c r="K2081" s="583"/>
      <c r="L2081" s="583"/>
      <c r="M2081" s="583"/>
      <c r="N2081" s="589"/>
      <c r="O2081" s="589"/>
    </row>
    <row r="2082" spans="1:15">
      <c r="A2082" s="377">
        <f>ORÇAMENTO!A249</f>
        <v>1172</v>
      </c>
      <c r="B2082" s="377" t="str">
        <f>ORÇAMENTO!C249</f>
        <v>13.01.37</v>
      </c>
      <c r="C2082" s="1047" t="str">
        <f>ORÇAMENTO!D249</f>
        <v>TÊ 90º DE PVC RÍGIDO SOLDÁVEL, MARROM DIÂM = 60MM</v>
      </c>
      <c r="D2082" s="1047"/>
      <c r="E2082" s="1047"/>
      <c r="F2082" s="1047"/>
      <c r="G2082" s="377" t="str">
        <f>ORÇAMENTO!E249</f>
        <v xml:space="preserve">UN </v>
      </c>
      <c r="H2082" s="383">
        <f>SUM(H2083:H2083)</f>
        <v>8</v>
      </c>
      <c r="I2082" s="379"/>
      <c r="J2082" s="380"/>
      <c r="K2082" s="379"/>
      <c r="L2082" s="380"/>
      <c r="M2082" s="379"/>
      <c r="N2082" s="380"/>
      <c r="O2082" s="379"/>
    </row>
    <row r="2083" spans="1:15">
      <c r="A2083" s="342"/>
      <c r="B2083" s="342"/>
      <c r="C2083" s="1019" t="s">
        <v>2038</v>
      </c>
      <c r="D2083" s="1019"/>
      <c r="E2083" s="1019"/>
      <c r="F2083" s="1019"/>
      <c r="G2083" s="389" t="s">
        <v>55</v>
      </c>
      <c r="H2083" s="584">
        <v>8</v>
      </c>
      <c r="I2083" s="582"/>
      <c r="J2083" s="582"/>
      <c r="K2083" s="583"/>
      <c r="L2083" s="583"/>
      <c r="M2083" s="583"/>
      <c r="N2083" s="589"/>
      <c r="O2083" s="589"/>
    </row>
    <row r="2084" spans="1:15">
      <c r="A2084" s="377">
        <f>ORÇAMENTO!A250</f>
        <v>1173</v>
      </c>
      <c r="B2084" s="377" t="str">
        <f>ORÇAMENTO!C250</f>
        <v>13.01.38</v>
      </c>
      <c r="C2084" s="1047" t="str">
        <f>ORÇAMENTO!D250</f>
        <v xml:space="preserve">TÊ 90º DE PVC RÍGIDO SOLDÁVEL, MARROM DIÂM = 75MM </v>
      </c>
      <c r="D2084" s="1047"/>
      <c r="E2084" s="1047"/>
      <c r="F2084" s="1047"/>
      <c r="G2084" s="377" t="str">
        <f>ORÇAMENTO!E250</f>
        <v xml:space="preserve">UN </v>
      </c>
      <c r="H2084" s="383">
        <f>SUM(H2085:H2085)</f>
        <v>4</v>
      </c>
      <c r="I2084" s="379"/>
      <c r="J2084" s="380"/>
      <c r="K2084" s="379"/>
      <c r="L2084" s="380"/>
      <c r="M2084" s="379"/>
      <c r="N2084" s="380"/>
      <c r="O2084" s="379"/>
    </row>
    <row r="2085" spans="1:15">
      <c r="A2085" s="342"/>
      <c r="B2085" s="342"/>
      <c r="C2085" s="1019" t="s">
        <v>2038</v>
      </c>
      <c r="D2085" s="1019"/>
      <c r="E2085" s="1019"/>
      <c r="F2085" s="1019"/>
      <c r="G2085" s="389" t="s">
        <v>55</v>
      </c>
      <c r="H2085" s="584">
        <v>4</v>
      </c>
      <c r="I2085" s="582"/>
      <c r="J2085" s="582"/>
      <c r="K2085" s="583"/>
      <c r="L2085" s="583"/>
      <c r="M2085" s="583"/>
      <c r="N2085" s="589"/>
      <c r="O2085" s="589"/>
    </row>
    <row r="2086" spans="1:15">
      <c r="A2086" s="377">
        <f>ORÇAMENTO!A251</f>
        <v>1295</v>
      </c>
      <c r="B2086" s="377" t="str">
        <f>ORÇAMENTO!C251</f>
        <v>13.01.39</v>
      </c>
      <c r="C2086" s="1047" t="str">
        <f>ORÇAMENTO!D251</f>
        <v>JUNÇÃO DE PVC RÍGIDO ROSCÁVEL DIÂM = 1 - REV01</v>
      </c>
      <c r="D2086" s="1047"/>
      <c r="E2086" s="1047"/>
      <c r="F2086" s="1047"/>
      <c r="G2086" s="377" t="str">
        <f>ORÇAMENTO!E251</f>
        <v xml:space="preserve">UN </v>
      </c>
      <c r="H2086" s="383">
        <f>SUM(H2087)</f>
        <v>4</v>
      </c>
      <c r="I2086" s="379"/>
      <c r="J2086" s="380"/>
      <c r="K2086" s="379"/>
      <c r="L2086" s="380"/>
      <c r="M2086" s="379"/>
      <c r="N2086" s="380"/>
      <c r="O2086" s="379"/>
    </row>
    <row r="2087" spans="1:15">
      <c r="A2087" s="342"/>
      <c r="B2087" s="342"/>
      <c r="C2087" s="1019" t="s">
        <v>2038</v>
      </c>
      <c r="D2087" s="1019"/>
      <c r="E2087" s="1019"/>
      <c r="F2087" s="1019"/>
      <c r="G2087" s="389" t="s">
        <v>55</v>
      </c>
      <c r="H2087" s="584">
        <v>4</v>
      </c>
      <c r="I2087" s="582"/>
      <c r="J2087" s="582"/>
      <c r="K2087" s="583"/>
      <c r="L2087" s="583"/>
      <c r="M2087" s="583"/>
      <c r="N2087" s="589"/>
      <c r="O2087" s="589"/>
    </row>
    <row r="2088" spans="1:15" ht="26.25" customHeight="1">
      <c r="A2088" s="377">
        <f>ORÇAMENTO!A252</f>
        <v>89356</v>
      </c>
      <c r="B2088" s="377" t="str">
        <f>ORÇAMENTO!C252</f>
        <v>13.01.40</v>
      </c>
      <c r="C2088" s="1047" t="str">
        <f>ORÇAMENTO!D252</f>
        <v>TUBO, PVC, SOLDÁVEL, DN 25MM, INSTALADO EM RAMAL OU SUB-RAMAL DE ÁGUA FORNECIMENTO E INSTALAÇÃO</v>
      </c>
      <c r="D2088" s="1047"/>
      <c r="E2088" s="1047"/>
      <c r="F2088" s="1047"/>
      <c r="G2088" s="377" t="str">
        <f>ORÇAMENTO!E252</f>
        <v>M</v>
      </c>
      <c r="H2088" s="380">
        <f>SUM(H2089:H2089)</f>
        <v>380.87</v>
      </c>
      <c r="I2088" s="379"/>
      <c r="J2088" s="380"/>
      <c r="K2088" s="379"/>
      <c r="L2088" s="380"/>
      <c r="M2088" s="379"/>
      <c r="N2088" s="380"/>
      <c r="O2088" s="379"/>
    </row>
    <row r="2089" spans="1:15">
      <c r="A2089" s="342"/>
      <c r="B2089" s="342"/>
      <c r="C2089" s="1002" t="s">
        <v>2038</v>
      </c>
      <c r="D2089" s="1002"/>
      <c r="E2089" s="1002"/>
      <c r="F2089" s="1002"/>
      <c r="G2089" s="389" t="s">
        <v>246</v>
      </c>
      <c r="H2089" s="582">
        <v>380.87</v>
      </c>
      <c r="I2089" s="582"/>
      <c r="J2089" s="582"/>
      <c r="K2089" s="583"/>
      <c r="L2089" s="583"/>
      <c r="M2089" s="583"/>
      <c r="N2089" s="589"/>
      <c r="O2089" s="589"/>
    </row>
    <row r="2090" spans="1:15" ht="25.5" customHeight="1">
      <c r="A2090" s="377">
        <f>ORÇAMENTO!A253</f>
        <v>89357</v>
      </c>
      <c r="B2090" s="377" t="str">
        <f>ORÇAMENTO!C253</f>
        <v>13.01.41</v>
      </c>
      <c r="C2090" s="1047" t="str">
        <f>ORÇAMENTO!D253</f>
        <v>TUBO, PVC, SOLDÁVEL, DN 32MM, INSTALADO EM RAMAL OU SUB-RAMAL DE ÁGUA FORNECIMENTO E INSTALAÇÃO</v>
      </c>
      <c r="D2090" s="1047"/>
      <c r="E2090" s="1047"/>
      <c r="F2090" s="1047"/>
      <c r="G2090" s="377" t="str">
        <f>ORÇAMENTO!E253</f>
        <v>M</v>
      </c>
      <c r="H2090" s="380">
        <f>SUM(H2091:H2091)</f>
        <v>76.5</v>
      </c>
      <c r="I2090" s="379"/>
      <c r="J2090" s="380"/>
      <c r="K2090" s="379"/>
      <c r="L2090" s="380"/>
      <c r="M2090" s="379"/>
      <c r="N2090" s="380"/>
      <c r="O2090" s="379"/>
    </row>
    <row r="2091" spans="1:15">
      <c r="A2091" s="342"/>
      <c r="B2091" s="342"/>
      <c r="C2091" s="1019" t="s">
        <v>2038</v>
      </c>
      <c r="D2091" s="1019"/>
      <c r="E2091" s="1019"/>
      <c r="F2091" s="1019"/>
      <c r="G2091" s="389" t="s">
        <v>246</v>
      </c>
      <c r="H2091" s="582">
        <v>76.5</v>
      </c>
      <c r="I2091" s="582"/>
      <c r="J2091" s="582"/>
      <c r="K2091" s="583"/>
      <c r="L2091" s="583"/>
      <c r="M2091" s="583"/>
      <c r="N2091" s="589"/>
      <c r="O2091" s="589"/>
    </row>
    <row r="2092" spans="1:15" ht="24" customHeight="1">
      <c r="A2092" s="377">
        <f>ORÇAMENTO!A254</f>
        <v>89448</v>
      </c>
      <c r="B2092" s="377" t="str">
        <f>ORÇAMENTO!C254</f>
        <v>13.01.42</v>
      </c>
      <c r="C2092" s="1047" t="str">
        <f>ORÇAMENTO!D254</f>
        <v>TUBO, PVC, SOLDÁVEL, DN 40MM, INSTALADO EM PRUMADA DE ÁGUA FORNECIMENTO E INSTALAÇÃO</v>
      </c>
      <c r="D2092" s="1047"/>
      <c r="E2092" s="1047"/>
      <c r="F2092" s="1047"/>
      <c r="G2092" s="377" t="str">
        <f>ORÇAMENTO!E254</f>
        <v>M</v>
      </c>
      <c r="H2092" s="380">
        <f>H2093</f>
        <v>42.68</v>
      </c>
      <c r="I2092" s="379"/>
      <c r="J2092" s="380"/>
      <c r="K2092" s="379"/>
      <c r="L2092" s="380"/>
      <c r="M2092" s="379"/>
      <c r="N2092" s="380"/>
      <c r="O2092" s="379"/>
    </row>
    <row r="2093" spans="1:15">
      <c r="A2093" s="342"/>
      <c r="B2093" s="342"/>
      <c r="C2093" s="1019" t="s">
        <v>2038</v>
      </c>
      <c r="D2093" s="1019"/>
      <c r="E2093" s="1019"/>
      <c r="F2093" s="1019"/>
      <c r="G2093" s="389" t="s">
        <v>246</v>
      </c>
      <c r="H2093" s="582">
        <v>42.68</v>
      </c>
      <c r="I2093" s="582"/>
      <c r="J2093" s="582"/>
      <c r="K2093" s="583"/>
      <c r="L2093" s="583"/>
      <c r="M2093" s="583"/>
      <c r="N2093" s="589"/>
      <c r="O2093" s="589"/>
    </row>
    <row r="2094" spans="1:15" ht="24" customHeight="1">
      <c r="A2094" s="377">
        <f>ORÇAMENTO!A255</f>
        <v>89449</v>
      </c>
      <c r="B2094" s="377" t="str">
        <f>ORÇAMENTO!C255</f>
        <v>13.01.43</v>
      </c>
      <c r="C2094" s="1047" t="str">
        <f>ORÇAMENTO!D255</f>
        <v>TUBO, PVC, SOLDÁVEL, DN 50MM, INSTALADO EM PRUMADA DE ÁGUA  FORNECIMENTO E INSTALAÇÃO</v>
      </c>
      <c r="D2094" s="1047"/>
      <c r="E2094" s="1047"/>
      <c r="F2094" s="1047"/>
      <c r="G2094" s="377" t="str">
        <f>ORÇAMENTO!E255</f>
        <v>M</v>
      </c>
      <c r="H2094" s="380">
        <v>34.380000000000003</v>
      </c>
      <c r="I2094" s="379"/>
      <c r="J2094" s="380"/>
      <c r="K2094" s="379"/>
      <c r="L2094" s="380"/>
      <c r="M2094" s="379"/>
      <c r="N2094" s="380"/>
      <c r="O2094" s="379"/>
    </row>
    <row r="2095" spans="1:15" ht="12.75" customHeight="1">
      <c r="A2095" s="342"/>
      <c r="B2095" s="342"/>
      <c r="C2095" s="1019" t="s">
        <v>2038</v>
      </c>
      <c r="D2095" s="1019"/>
      <c r="E2095" s="1019"/>
      <c r="F2095" s="1019"/>
      <c r="G2095" s="389" t="s">
        <v>246</v>
      </c>
      <c r="H2095" s="582">
        <v>26.1</v>
      </c>
      <c r="I2095" s="582"/>
      <c r="J2095" s="582"/>
      <c r="K2095" s="583"/>
      <c r="L2095" s="583"/>
      <c r="M2095" s="583"/>
      <c r="N2095" s="589"/>
      <c r="O2095" s="589"/>
    </row>
    <row r="2096" spans="1:15" ht="24.75" customHeight="1">
      <c r="A2096" s="377">
        <f>ORÇAMENTO!A256</f>
        <v>89450</v>
      </c>
      <c r="B2096" s="377" t="str">
        <f>ORÇAMENTO!C256</f>
        <v>13.01.44</v>
      </c>
      <c r="C2096" s="1047" t="str">
        <f>ORÇAMENTO!D256</f>
        <v>TUBO, PVC, SOLDÁVEL, DN 60MM, INSTALADO EM PRUMADA DE ÁGUA - FORNECIMENTO E INSTALAÇÃO. AF_12/2014</v>
      </c>
      <c r="D2096" s="1047"/>
      <c r="E2096" s="1047"/>
      <c r="F2096" s="1047"/>
      <c r="G2096" s="377" t="str">
        <f>ORÇAMENTO!E256</f>
        <v>M</v>
      </c>
      <c r="H2096" s="380">
        <f>SUM(H2097:H2097)</f>
        <v>27.62</v>
      </c>
      <c r="I2096" s="379"/>
      <c r="J2096" s="380"/>
      <c r="K2096" s="379"/>
      <c r="L2096" s="380"/>
      <c r="M2096" s="379"/>
      <c r="N2096" s="380"/>
      <c r="O2096" s="379"/>
    </row>
    <row r="2097" spans="1:15" ht="12.75" customHeight="1">
      <c r="A2097" s="342"/>
      <c r="B2097" s="342"/>
      <c r="C2097" s="1019" t="s">
        <v>2038</v>
      </c>
      <c r="D2097" s="1019"/>
      <c r="E2097" s="1019"/>
      <c r="F2097" s="1019"/>
      <c r="G2097" s="389" t="s">
        <v>246</v>
      </c>
      <c r="H2097" s="582">
        <v>27.62</v>
      </c>
      <c r="I2097" s="582"/>
      <c r="J2097" s="582"/>
      <c r="K2097" s="583"/>
      <c r="L2097" s="583"/>
      <c r="M2097" s="583"/>
      <c r="N2097" s="589"/>
      <c r="O2097" s="589"/>
    </row>
    <row r="2098" spans="1:15" ht="24.75" customHeight="1">
      <c r="A2098" s="377">
        <f>ORÇAMENTO!A257</f>
        <v>1033</v>
      </c>
      <c r="B2098" s="377" t="str">
        <f>ORÇAMENTO!C257</f>
        <v>13.01.45</v>
      </c>
      <c r="C2098" s="1047" t="str">
        <f>ORÇAMENTO!D257</f>
        <v>TUBO PVC RIGIDO SOLDAVEL MARROM PARA ÁGUA DN 75 MM (2 1/2")</v>
      </c>
      <c r="D2098" s="1047"/>
      <c r="E2098" s="1047"/>
      <c r="F2098" s="1047"/>
      <c r="G2098" s="395" t="str">
        <f>ORÇAMENTO!E257</f>
        <v>M</v>
      </c>
      <c r="H2098" s="380">
        <v>22.98</v>
      </c>
      <c r="I2098" s="379"/>
      <c r="J2098" s="380"/>
      <c r="K2098" s="379"/>
      <c r="L2098" s="380"/>
      <c r="M2098" s="379"/>
      <c r="N2098" s="380"/>
      <c r="O2098" s="379"/>
    </row>
    <row r="2099" spans="1:15">
      <c r="A2099" s="342"/>
      <c r="B2099" s="342"/>
      <c r="C2099" s="1019" t="s">
        <v>2038</v>
      </c>
      <c r="D2099" s="1019"/>
      <c r="E2099" s="1019"/>
      <c r="F2099" s="1019"/>
      <c r="G2099" s="389" t="s">
        <v>246</v>
      </c>
      <c r="H2099" s="582">
        <v>6</v>
      </c>
      <c r="I2099" s="582"/>
      <c r="J2099" s="582"/>
      <c r="K2099" s="583"/>
      <c r="L2099" s="583"/>
      <c r="M2099" s="583"/>
      <c r="N2099" s="589"/>
      <c r="O2099" s="589"/>
    </row>
    <row r="2100" spans="1:15">
      <c r="A2100" s="344" t="str">
        <f>ORÇAMENTO!A258</f>
        <v>MERC02/06</v>
      </c>
      <c r="B2100" s="344" t="str">
        <f>ORÇAMENTO!C258</f>
        <v>13.01.46</v>
      </c>
      <c r="C2100" s="1020" t="str">
        <f>ORÇAMENTO!D258</f>
        <v>TANQUE DE POLIETILENO 5.000L FORT PLUS FORTLEV</v>
      </c>
      <c r="D2100" s="1020"/>
      <c r="E2100" s="1020"/>
      <c r="F2100" s="1020"/>
      <c r="G2100" s="647" t="str">
        <f>ORÇAMENTO!E258</f>
        <v xml:space="preserve">UN </v>
      </c>
      <c r="H2100" s="429">
        <f>SUM(H2101)</f>
        <v>2</v>
      </c>
      <c r="I2100" s="345"/>
      <c r="J2100" s="429"/>
      <c r="K2100" s="345"/>
      <c r="L2100" s="429"/>
      <c r="M2100" s="345"/>
      <c r="N2100" s="429"/>
      <c r="O2100" s="345"/>
    </row>
    <row r="2101" spans="1:15">
      <c r="A2101" s="342"/>
      <c r="B2101" s="342"/>
      <c r="C2101" s="1019" t="s">
        <v>2038</v>
      </c>
      <c r="D2101" s="1019"/>
      <c r="E2101" s="1019"/>
      <c r="F2101" s="1019"/>
      <c r="G2101" s="389" t="s">
        <v>96</v>
      </c>
      <c r="H2101" s="582">
        <v>2</v>
      </c>
      <c r="I2101" s="582"/>
      <c r="J2101" s="582"/>
      <c r="K2101" s="583"/>
      <c r="L2101" s="583"/>
      <c r="M2101" s="583"/>
      <c r="N2101" s="589"/>
      <c r="O2101" s="589"/>
    </row>
    <row r="2102" spans="1:15" ht="12.75" customHeight="1">
      <c r="A2102" s="373" t="s">
        <v>11</v>
      </c>
      <c r="B2102" s="375" t="s">
        <v>13</v>
      </c>
      <c r="C2102" s="1007" t="s">
        <v>1443</v>
      </c>
      <c r="D2102" s="1007"/>
      <c r="E2102" s="1007"/>
      <c r="F2102" s="1007"/>
      <c r="G2102" s="375" t="s">
        <v>15</v>
      </c>
      <c r="H2102" s="375" t="s">
        <v>1444</v>
      </c>
      <c r="I2102" s="375" t="s">
        <v>1445</v>
      </c>
      <c r="J2102" s="375" t="s">
        <v>1446</v>
      </c>
      <c r="K2102" s="375" t="s">
        <v>1447</v>
      </c>
      <c r="L2102" s="375" t="s">
        <v>1448</v>
      </c>
      <c r="M2102" s="375" t="s">
        <v>1457</v>
      </c>
      <c r="N2102" s="375" t="s">
        <v>1450</v>
      </c>
      <c r="O2102" s="375" t="s">
        <v>1451</v>
      </c>
    </row>
    <row r="2103" spans="1:15">
      <c r="A2103" s="376"/>
      <c r="B2103" s="376" t="str">
        <f>ORÇAMENTO!C259</f>
        <v>13.02</v>
      </c>
      <c r="C2103" s="1051" t="str">
        <f>ORÇAMENTO!D259</f>
        <v>INSTALAÇÕES HIDRÁULICAS - ESGOTO E ÁGUAS PLUVIAIS</v>
      </c>
      <c r="D2103" s="1051"/>
      <c r="E2103" s="1051"/>
      <c r="F2103" s="1051"/>
      <c r="G2103" s="1082"/>
      <c r="H2103" s="1082"/>
      <c r="I2103" s="1082"/>
      <c r="J2103" s="1082"/>
      <c r="K2103" s="1082"/>
      <c r="L2103" s="1082"/>
      <c r="M2103" s="1082"/>
      <c r="N2103" s="1082"/>
      <c r="O2103" s="1082"/>
    </row>
    <row r="2104" spans="1:15" ht="45" customHeight="1">
      <c r="A2104" s="377">
        <f>ORÇAMENTO!A260</f>
        <v>89810</v>
      </c>
      <c r="B2104" s="377" t="str">
        <f>ORÇAMENTO!C260</f>
        <v>13.02.01</v>
      </c>
      <c r="C2104" s="1047" t="str">
        <f>ORÇAMENTO!D260</f>
        <v>JOELHO 45 GRAUS, PVC, SERIE NORMAL, ESGOTO PREDIAL, DN 100 MM, JUNTA ELÁSTICA, FORNECIDO E INSTALADO EM PRUMADA DE ESGOTO SANITÁRIO OU VENTILAÇÃO. AF_12/2014</v>
      </c>
      <c r="D2104" s="1047"/>
      <c r="E2104" s="1047"/>
      <c r="F2104" s="1047"/>
      <c r="G2104" s="377" t="str">
        <f>ORÇAMENTO!E260</f>
        <v>UN</v>
      </c>
      <c r="H2104" s="383">
        <f>H2105</f>
        <v>12</v>
      </c>
      <c r="I2104" s="379"/>
      <c r="J2104" s="380"/>
      <c r="K2104" s="379"/>
      <c r="L2104" s="380"/>
      <c r="M2104" s="379"/>
      <c r="N2104" s="380"/>
      <c r="O2104" s="379"/>
    </row>
    <row r="2105" spans="1:15">
      <c r="A2105" s="342"/>
      <c r="B2105" s="342"/>
      <c r="C2105" s="1002" t="s">
        <v>2039</v>
      </c>
      <c r="D2105" s="1002"/>
      <c r="E2105" s="1002"/>
      <c r="F2105" s="1002"/>
      <c r="G2105" s="389" t="s">
        <v>55</v>
      </c>
      <c r="H2105" s="612">
        <v>12</v>
      </c>
      <c r="I2105" s="582"/>
      <c r="J2105" s="582"/>
      <c r="K2105" s="583"/>
      <c r="L2105" s="583"/>
      <c r="M2105" s="583"/>
      <c r="N2105" s="589"/>
      <c r="O2105" s="589"/>
    </row>
    <row r="2106" spans="1:15" ht="46.5" customHeight="1">
      <c r="A2106" s="377">
        <f>ORÇAMENTO!A261</f>
        <v>89726</v>
      </c>
      <c r="B2106" s="377" t="str">
        <f>ORÇAMENTO!C261</f>
        <v>13.02.02</v>
      </c>
      <c r="C2106" s="1047" t="str">
        <f>ORÇAMENTO!D261</f>
        <v>JOELHO 45 GRAUS, PVC, SERIE NORMAL, ESGOTO PREDIAL, DN 40 MM, JUNTA SOLDÁVEL, FORNECIDO E INSTALADO EM RAMAL DE DESCARGA OU RAMAL DE ESGOTO SANITÁRIO. AF_12/2014</v>
      </c>
      <c r="D2106" s="1047"/>
      <c r="E2106" s="1047"/>
      <c r="F2106" s="1047"/>
      <c r="G2106" s="377" t="str">
        <f>ORÇAMENTO!E261</f>
        <v>UN</v>
      </c>
      <c r="H2106" s="383">
        <f>H2107</f>
        <v>21</v>
      </c>
      <c r="I2106" s="379"/>
      <c r="J2106" s="380"/>
      <c r="K2106" s="379"/>
      <c r="L2106" s="380"/>
      <c r="M2106" s="379"/>
      <c r="N2106" s="380"/>
      <c r="O2106" s="379"/>
    </row>
    <row r="2107" spans="1:15">
      <c r="A2107" s="342"/>
      <c r="B2107" s="342"/>
      <c r="C2107" s="1002" t="s">
        <v>2040</v>
      </c>
      <c r="D2107" s="1002"/>
      <c r="E2107" s="1002"/>
      <c r="F2107" s="1002"/>
      <c r="G2107" s="389" t="s">
        <v>55</v>
      </c>
      <c r="H2107" s="585">
        <v>21</v>
      </c>
      <c r="I2107" s="582"/>
      <c r="J2107" s="582"/>
      <c r="K2107" s="583"/>
      <c r="L2107" s="583"/>
      <c r="M2107" s="583"/>
      <c r="N2107" s="589"/>
      <c r="O2107" s="589"/>
    </row>
    <row r="2108" spans="1:15" ht="42.75" customHeight="1">
      <c r="A2108" s="377">
        <f>ORÇAMENTO!A262</f>
        <v>89732</v>
      </c>
      <c r="B2108" s="377" t="str">
        <f>ORÇAMENTO!C262</f>
        <v>13.02.03</v>
      </c>
      <c r="C2108" s="1047" t="str">
        <f>ORÇAMENTO!D262</f>
        <v>JOELHO 45 GRAUS, PVC, SERIE NORMAL, ESGOTO PREDIAL, DN 50 MM, JUNTA ELÁSTICA, FORNECIDO E INSTALADO EM RAMAL DE DESCARGA OU RAMAL DE ESGOTO SANITÁRIO. AF_12/2014</v>
      </c>
      <c r="D2108" s="1047"/>
      <c r="E2108" s="1047"/>
      <c r="F2108" s="1047"/>
      <c r="G2108" s="377" t="str">
        <f>ORÇAMENTO!E262</f>
        <v>UN</v>
      </c>
      <c r="H2108" s="383">
        <f>H2109</f>
        <v>31</v>
      </c>
      <c r="I2108" s="379"/>
      <c r="J2108" s="380"/>
      <c r="K2108" s="379"/>
      <c r="L2108" s="380"/>
      <c r="M2108" s="379"/>
      <c r="N2108" s="380"/>
      <c r="O2108" s="379"/>
    </row>
    <row r="2109" spans="1:15">
      <c r="A2109" s="342"/>
      <c r="B2109" s="342"/>
      <c r="C2109" s="1002" t="s">
        <v>2041</v>
      </c>
      <c r="D2109" s="1002"/>
      <c r="E2109" s="1002"/>
      <c r="F2109" s="1002"/>
      <c r="G2109" s="389" t="s">
        <v>55</v>
      </c>
      <c r="H2109" s="585">
        <v>31</v>
      </c>
      <c r="I2109" s="582"/>
      <c r="J2109" s="582"/>
      <c r="K2109" s="583"/>
      <c r="L2109" s="583"/>
      <c r="M2109" s="583"/>
      <c r="N2109" s="589"/>
      <c r="O2109" s="589"/>
    </row>
    <row r="2110" spans="1:15" ht="38.25" customHeight="1">
      <c r="A2110" s="377">
        <f>ORÇAMENTO!A263</f>
        <v>103042</v>
      </c>
      <c r="B2110" s="377" t="str">
        <f>ORÇAMENTO!C263</f>
        <v>13.02.04</v>
      </c>
      <c r="C2110" s="1047" t="str">
        <f>ORÇAMENTO!D263</f>
        <v>REGISTRO DE ESFERA, PVC, ROSCÁVEL, COM BORBOLETA, 3/4" - FORNECIMENTO E INSTALAÇÃO. AF_08/2021</v>
      </c>
      <c r="D2110" s="1047"/>
      <c r="E2110" s="1047"/>
      <c r="F2110" s="1047"/>
      <c r="G2110" s="377" t="str">
        <f>ORÇAMENTO!E263</f>
        <v>UN</v>
      </c>
      <c r="H2110" s="383">
        <f>H2111</f>
        <v>1</v>
      </c>
      <c r="I2110" s="379"/>
      <c r="J2110" s="380"/>
      <c r="K2110" s="379"/>
      <c r="L2110" s="380"/>
      <c r="M2110" s="379"/>
      <c r="N2110" s="380"/>
      <c r="O2110" s="379"/>
    </row>
    <row r="2111" spans="1:15">
      <c r="A2111" s="342"/>
      <c r="B2111" s="342"/>
      <c r="C2111" s="1002" t="s">
        <v>2042</v>
      </c>
      <c r="D2111" s="1002"/>
      <c r="E2111" s="1002"/>
      <c r="F2111" s="1002"/>
      <c r="G2111" s="389" t="s">
        <v>55</v>
      </c>
      <c r="H2111" s="584">
        <v>1</v>
      </c>
      <c r="I2111" s="582"/>
      <c r="J2111" s="582"/>
      <c r="K2111" s="583"/>
      <c r="L2111" s="583"/>
      <c r="M2111" s="583"/>
      <c r="N2111" s="589"/>
      <c r="O2111" s="589"/>
    </row>
    <row r="2112" spans="1:15" ht="43.9" customHeight="1">
      <c r="A2112" s="377">
        <f>ORÇAMENTO!A264</f>
        <v>89724</v>
      </c>
      <c r="B2112" s="377" t="str">
        <f>ORÇAMENTO!C264</f>
        <v>13.02.05</v>
      </c>
      <c r="C2112" s="1047" t="str">
        <f>ORÇAMENTO!D264</f>
        <v>JOELHO 90 GRAUS, PVC, SERIE NORMAL, ESGOTO PREDIAL, DN 40 MM, JUNTA SOLDÁVEL, FORNECIDO E INSTALADO EM RAMAL DE DESCARGA OU RAMAL DE ESGOTO SANITÁRIO. AF_12/2014_P</v>
      </c>
      <c r="D2112" s="1047"/>
      <c r="E2112" s="1047"/>
      <c r="F2112" s="1047"/>
      <c r="G2112" s="377" t="str">
        <f>ORÇAMENTO!E264</f>
        <v>UN</v>
      </c>
      <c r="H2112" s="383">
        <f>H2113</f>
        <v>77</v>
      </c>
      <c r="I2112" s="379"/>
      <c r="J2112" s="380"/>
      <c r="K2112" s="379"/>
      <c r="L2112" s="380"/>
      <c r="M2112" s="379"/>
      <c r="N2112" s="380"/>
      <c r="O2112" s="379"/>
    </row>
    <row r="2113" spans="1:15">
      <c r="A2113" s="342"/>
      <c r="B2113" s="342"/>
      <c r="C2113" s="1002" t="s">
        <v>2043</v>
      </c>
      <c r="D2113" s="1002"/>
      <c r="E2113" s="1002"/>
      <c r="F2113" s="1002"/>
      <c r="G2113" s="389" t="s">
        <v>55</v>
      </c>
      <c r="H2113" s="585">
        <v>77</v>
      </c>
      <c r="I2113" s="582"/>
      <c r="J2113" s="582"/>
      <c r="K2113" s="583"/>
      <c r="L2113" s="583"/>
      <c r="M2113" s="583"/>
      <c r="N2113" s="589"/>
      <c r="O2113" s="589"/>
    </row>
    <row r="2114" spans="1:15" ht="42.75" customHeight="1">
      <c r="A2114" s="377">
        <f>ORÇAMENTO!A265</f>
        <v>1672</v>
      </c>
      <c r="B2114" s="377" t="str">
        <f>ORÇAMENTO!C265</f>
        <v>13.02.06</v>
      </c>
      <c r="C2114" s="1047" t="str">
        <f>ORÇAMENTO!D265</f>
        <v xml:space="preserve">JOELHO DE 90°COM BOLSA PARA ANEL, EM PVC RÍGIDO C/ ANÉIS, PARA ESGOTO SECUNDÁRIO, DIÂM = 40MM </v>
      </c>
      <c r="D2114" s="1047"/>
      <c r="E2114" s="1047"/>
      <c r="F2114" s="1047"/>
      <c r="G2114" s="377" t="str">
        <f>ORÇAMENTO!E265</f>
        <v>UN</v>
      </c>
      <c r="H2114" s="383">
        <f>H2115</f>
        <v>10</v>
      </c>
      <c r="I2114" s="379"/>
      <c r="J2114" s="380"/>
      <c r="K2114" s="379"/>
      <c r="L2114" s="380"/>
      <c r="M2114" s="379"/>
      <c r="N2114" s="380"/>
      <c r="O2114" s="379"/>
    </row>
    <row r="2115" spans="1:15">
      <c r="A2115" s="342"/>
      <c r="B2115" s="342"/>
      <c r="C2115" s="1002" t="s">
        <v>2043</v>
      </c>
      <c r="D2115" s="1002"/>
      <c r="E2115" s="1002"/>
      <c r="F2115" s="1002"/>
      <c r="G2115" s="389" t="s">
        <v>55</v>
      </c>
      <c r="H2115" s="585">
        <v>10</v>
      </c>
      <c r="I2115" s="582"/>
      <c r="J2115" s="582"/>
      <c r="K2115" s="583"/>
      <c r="L2115" s="583"/>
      <c r="M2115" s="583"/>
      <c r="N2115" s="589"/>
      <c r="O2115" s="589"/>
    </row>
    <row r="2116" spans="1:15" ht="50.25" customHeight="1">
      <c r="A2116" s="377">
        <f>ORÇAMENTO!A266</f>
        <v>89731</v>
      </c>
      <c r="B2116" s="377" t="str">
        <f>ORÇAMENTO!C266</f>
        <v>13.02.07</v>
      </c>
      <c r="C2116" s="1047" t="str">
        <f>ORÇAMENTO!D266</f>
        <v>JOELHO 90 GRAUS, PVC, SERIE NORMAL, ESGOTO PREDIAL, DN 50 MM, JUNTA ELÁSTICA, FORNECIDO E INSTALADO EM RAMAL DE DESCARGA OU RAMAL DE ESGOTO SANITÁRIO. AF_12/2014</v>
      </c>
      <c r="D2116" s="1047"/>
      <c r="E2116" s="1047"/>
      <c r="F2116" s="1047"/>
      <c r="G2116" s="377" t="str">
        <f>ORÇAMENTO!E266</f>
        <v>UN</v>
      </c>
      <c r="H2116" s="383">
        <f>H2117</f>
        <v>23</v>
      </c>
      <c r="I2116" s="379"/>
      <c r="J2116" s="380"/>
      <c r="K2116" s="379"/>
      <c r="L2116" s="380"/>
      <c r="M2116" s="379"/>
      <c r="N2116" s="380"/>
      <c r="O2116" s="379"/>
    </row>
    <row r="2117" spans="1:15">
      <c r="A2117" s="342"/>
      <c r="B2117" s="342"/>
      <c r="C2117" s="1002" t="s">
        <v>2044</v>
      </c>
      <c r="D2117" s="1002"/>
      <c r="E2117" s="1002"/>
      <c r="F2117" s="1002"/>
      <c r="G2117" s="389" t="s">
        <v>55</v>
      </c>
      <c r="H2117" s="585">
        <v>23</v>
      </c>
      <c r="I2117" s="582"/>
      <c r="J2117" s="582"/>
      <c r="K2117" s="583"/>
      <c r="L2117" s="583"/>
      <c r="M2117" s="583"/>
      <c r="N2117" s="589"/>
      <c r="O2117" s="589"/>
    </row>
    <row r="2118" spans="1:15" ht="44.25" customHeight="1">
      <c r="A2118" s="377">
        <f>ORÇAMENTO!A267</f>
        <v>89854</v>
      </c>
      <c r="B2118" s="377" t="str">
        <f>ORÇAMENTO!C267</f>
        <v>13.02.08</v>
      </c>
      <c r="C2118" s="1047" t="str">
        <f>ORÇAMENTO!D267</f>
        <v>JOELHO 90 GRAUS, PVC, SERIE NORMAL, ESGOTO PREDIAL, DN 150 MM, JUNTA ELÁSTICA, FORNECIDO E INSTALADO EM SUBCOLETOR AÉREO DE ESGOTO SANITÁRIO. AF_12/2014</v>
      </c>
      <c r="D2118" s="1047"/>
      <c r="E2118" s="1047"/>
      <c r="F2118" s="1047"/>
      <c r="G2118" s="377" t="str">
        <f>ORÇAMENTO!E267</f>
        <v>UN</v>
      </c>
      <c r="H2118" s="383">
        <f>H2119</f>
        <v>4</v>
      </c>
      <c r="I2118" s="379"/>
      <c r="J2118" s="380"/>
      <c r="K2118" s="379"/>
      <c r="L2118" s="380"/>
      <c r="M2118" s="379"/>
      <c r="N2118" s="380"/>
      <c r="O2118" s="379"/>
    </row>
    <row r="2119" spans="1:15">
      <c r="A2119" s="342"/>
      <c r="B2119" s="342"/>
      <c r="C2119" s="1002" t="s">
        <v>2045</v>
      </c>
      <c r="D2119" s="1002"/>
      <c r="E2119" s="1002"/>
      <c r="F2119" s="1002"/>
      <c r="G2119" s="389" t="s">
        <v>55</v>
      </c>
      <c r="H2119" s="584">
        <v>4</v>
      </c>
      <c r="I2119" s="582"/>
      <c r="J2119" s="582"/>
      <c r="K2119" s="583"/>
      <c r="L2119" s="583"/>
      <c r="M2119" s="583"/>
      <c r="N2119" s="589"/>
      <c r="O2119" s="589"/>
    </row>
    <row r="2120" spans="1:15" ht="43.5" customHeight="1">
      <c r="A2120" s="377">
        <f>ORÇAMENTO!A268</f>
        <v>89744</v>
      </c>
      <c r="B2120" s="377" t="str">
        <f>ORÇAMENTO!C268</f>
        <v>13.02.09</v>
      </c>
      <c r="C2120" s="1047" t="str">
        <f>ORÇAMENTO!D268</f>
        <v>JOELHO 90 GRAUS, PVC, SERIE NORMAL, ESGOTO PREDIAL, DN 100 MM, JUNTA ELÁSTICA, FORNECIDO E INSTALADO EM RAMAL DE DESCARGA OU RAMAL DE ESGOTO SANITÁRIO. AF_12/2014</v>
      </c>
      <c r="D2120" s="1047"/>
      <c r="E2120" s="1047"/>
      <c r="F2120" s="1047"/>
      <c r="G2120" s="377" t="str">
        <f>ORÇAMENTO!E268</f>
        <v>UN</v>
      </c>
      <c r="H2120" s="383">
        <f>H2121</f>
        <v>68</v>
      </c>
      <c r="I2120" s="379"/>
      <c r="J2120" s="380"/>
      <c r="K2120" s="379"/>
      <c r="L2120" s="380"/>
      <c r="M2120" s="379"/>
      <c r="N2120" s="380"/>
      <c r="O2120" s="379"/>
    </row>
    <row r="2121" spans="1:15">
      <c r="A2121" s="342"/>
      <c r="B2121" s="342"/>
      <c r="C2121" s="1002" t="s">
        <v>2046</v>
      </c>
      <c r="D2121" s="1002"/>
      <c r="E2121" s="1002"/>
      <c r="F2121" s="1002"/>
      <c r="G2121" s="389" t="s">
        <v>55</v>
      </c>
      <c r="H2121" s="585">
        <v>68</v>
      </c>
      <c r="I2121" s="582"/>
      <c r="J2121" s="582"/>
      <c r="K2121" s="583"/>
      <c r="L2121" s="583"/>
      <c r="M2121" s="583"/>
      <c r="N2121" s="589"/>
      <c r="O2121" s="589"/>
    </row>
    <row r="2122" spans="1:15" ht="53.45" customHeight="1">
      <c r="A2122" s="377">
        <f>ORÇAMENTO!A269</f>
        <v>89811</v>
      </c>
      <c r="B2122" s="377" t="str">
        <f>ORÇAMENTO!C269</f>
        <v>13.02.10</v>
      </c>
      <c r="C2122" s="1047" t="str">
        <f>ORÇAMENTO!D269</f>
        <v>CURVA CURTA 90 GRAUS, PVC, SERIE NORMAL, ESGOTO PREDIAL, DN 100 MM, JUNTA ELÁSTICA, FORNECIDO E INSTALADO EM PRUMADA DE ESGOTO SANITÁRIO OU VENTILAÇÃO. AF_12/2014</v>
      </c>
      <c r="D2122" s="1047"/>
      <c r="E2122" s="1047"/>
      <c r="F2122" s="1047"/>
      <c r="G2122" s="377" t="str">
        <f>ORÇAMENTO!E269</f>
        <v>UN</v>
      </c>
      <c r="H2122" s="383">
        <f>H2123</f>
        <v>2</v>
      </c>
      <c r="I2122" s="379"/>
      <c r="J2122" s="380"/>
      <c r="K2122" s="379"/>
      <c r="L2122" s="380"/>
      <c r="M2122" s="379"/>
      <c r="N2122" s="380"/>
      <c r="O2122" s="379"/>
    </row>
    <row r="2123" spans="1:15">
      <c r="A2123" s="342"/>
      <c r="B2123" s="342"/>
      <c r="C2123" s="1002" t="s">
        <v>2047</v>
      </c>
      <c r="D2123" s="1002"/>
      <c r="E2123" s="1002"/>
      <c r="F2123" s="1002"/>
      <c r="G2123" s="389" t="s">
        <v>55</v>
      </c>
      <c r="H2123" s="585">
        <v>2</v>
      </c>
      <c r="I2123" s="582"/>
      <c r="J2123" s="582"/>
      <c r="K2123" s="583"/>
      <c r="L2123" s="583"/>
      <c r="M2123" s="583"/>
      <c r="N2123" s="589"/>
      <c r="O2123" s="589"/>
    </row>
    <row r="2124" spans="1:15" ht="18.75" customHeight="1">
      <c r="A2124" s="377">
        <f>ORÇAMENTO!A270</f>
        <v>1548</v>
      </c>
      <c r="B2124" s="377" t="str">
        <f>ORÇAMENTO!C270</f>
        <v>13.02.11</v>
      </c>
      <c r="C2124" s="1047" t="str">
        <f>ORÇAMENTO!D270</f>
        <v>CURVA 90° LONGA EM PVC RÍGIDO SOLDÁVEL, DIÂM = 100MM</v>
      </c>
      <c r="D2124" s="1047"/>
      <c r="E2124" s="1047"/>
      <c r="F2124" s="1047"/>
      <c r="G2124" s="377" t="str">
        <f>ORÇAMENTO!E270</f>
        <v>UN</v>
      </c>
      <c r="H2124" s="383">
        <f>H2125</f>
        <v>2</v>
      </c>
      <c r="I2124" s="379"/>
      <c r="J2124" s="380"/>
      <c r="K2124" s="379"/>
      <c r="L2124" s="380"/>
      <c r="M2124" s="379"/>
      <c r="N2124" s="380"/>
      <c r="O2124" s="379"/>
    </row>
    <row r="2125" spans="1:15">
      <c r="A2125" s="342"/>
      <c r="B2125" s="342"/>
      <c r="C2125" s="1002" t="s">
        <v>2048</v>
      </c>
      <c r="D2125" s="1002"/>
      <c r="E2125" s="1002"/>
      <c r="F2125" s="1002"/>
      <c r="G2125" s="389" t="s">
        <v>55</v>
      </c>
      <c r="H2125" s="585">
        <v>2</v>
      </c>
      <c r="I2125" s="582"/>
      <c r="J2125" s="582"/>
      <c r="K2125" s="583"/>
      <c r="L2125" s="583"/>
      <c r="M2125" s="583"/>
      <c r="N2125" s="589"/>
      <c r="O2125" s="589"/>
    </row>
    <row r="2126" spans="1:15" ht="18" customHeight="1">
      <c r="A2126" s="377">
        <f>ORÇAMENTO!A271</f>
        <v>10317</v>
      </c>
      <c r="B2126" s="377" t="str">
        <f>ORÇAMENTO!C271</f>
        <v>13.02.12</v>
      </c>
      <c r="C2126" s="1047" t="str">
        <f>ORÇAMENTO!D271</f>
        <v>GRELHA P/RALO EM PVC, REDONDA, 15CM, TIGRE OU SIMILAR</v>
      </c>
      <c r="D2126" s="1047"/>
      <c r="E2126" s="1047"/>
      <c r="F2126" s="1047"/>
      <c r="G2126" s="377" t="str">
        <f>ORÇAMENTO!E271</f>
        <v>UN</v>
      </c>
      <c r="H2126" s="383">
        <f>H2127</f>
        <v>36</v>
      </c>
      <c r="I2126" s="379"/>
      <c r="J2126" s="380"/>
      <c r="K2126" s="379"/>
      <c r="L2126" s="380"/>
      <c r="M2126" s="379"/>
      <c r="N2126" s="380"/>
      <c r="O2126" s="379"/>
    </row>
    <row r="2127" spans="1:15">
      <c r="A2127" s="342"/>
      <c r="B2127" s="342"/>
      <c r="C2127" s="1002" t="s">
        <v>2049</v>
      </c>
      <c r="D2127" s="1002"/>
      <c r="E2127" s="1002"/>
      <c r="F2127" s="1002"/>
      <c r="G2127" s="389" t="s">
        <v>55</v>
      </c>
      <c r="H2127" s="584">
        <v>36</v>
      </c>
      <c r="I2127" s="582"/>
      <c r="J2127" s="582"/>
      <c r="K2127" s="583"/>
      <c r="L2127" s="583"/>
      <c r="M2127" s="583"/>
      <c r="N2127" s="589"/>
      <c r="O2127" s="589"/>
    </row>
    <row r="2128" spans="1:15" ht="24.75" customHeight="1">
      <c r="A2128" s="377">
        <f>ORÇAMENTO!A272</f>
        <v>1562</v>
      </c>
      <c r="B2128" s="377" t="str">
        <f>ORÇAMENTO!C272</f>
        <v>13.02.13</v>
      </c>
      <c r="C2128" s="1047" t="str">
        <f>ORÇAMENTO!D272</f>
        <v>JUNÇÃO SIMPLES EM PVC RÍGIDO SOLDÁVEL, PARA ESGOTO PRIMÁRIO, DIÂM = 100 X 50MM</v>
      </c>
      <c r="D2128" s="1047"/>
      <c r="E2128" s="1047"/>
      <c r="F2128" s="1047"/>
      <c r="G2128" s="377" t="str">
        <f>ORÇAMENTO!E272</f>
        <v>UN</v>
      </c>
      <c r="H2128" s="383">
        <f>H2129</f>
        <v>2</v>
      </c>
      <c r="I2128" s="379"/>
      <c r="J2128" s="380"/>
      <c r="K2128" s="379"/>
      <c r="L2128" s="380"/>
      <c r="M2128" s="379"/>
      <c r="N2128" s="380"/>
      <c r="O2128" s="379"/>
    </row>
    <row r="2129" spans="1:15">
      <c r="A2129" s="342"/>
      <c r="B2129" s="342"/>
      <c r="C2129" s="1002" t="s">
        <v>2050</v>
      </c>
      <c r="D2129" s="1002"/>
      <c r="E2129" s="1002"/>
      <c r="F2129" s="1002"/>
      <c r="G2129" s="389" t="s">
        <v>55</v>
      </c>
      <c r="H2129" s="585">
        <v>2</v>
      </c>
      <c r="I2129" s="582"/>
      <c r="J2129" s="582"/>
      <c r="K2129" s="583"/>
      <c r="L2129" s="583"/>
      <c r="M2129" s="583"/>
      <c r="N2129" s="589"/>
      <c r="O2129" s="589"/>
    </row>
    <row r="2130" spans="1:15" ht="24.75" customHeight="1">
      <c r="A2130" s="377">
        <f>ORÇAMENTO!A273</f>
        <v>1636</v>
      </c>
      <c r="B2130" s="377" t="str">
        <f>ORÇAMENTO!C273</f>
        <v>13.02.14</v>
      </c>
      <c r="C2130" s="1047" t="str">
        <f>ORÇAMENTO!D273</f>
        <v>JUNÇÃO SIMPLES EM PVC RÍGIDO C/ ANÉIS, PARA ESGOTO PRIMÁRIO, DIÂM =100 X 50MM</v>
      </c>
      <c r="D2130" s="1047"/>
      <c r="E2130" s="1047"/>
      <c r="F2130" s="1047"/>
      <c r="G2130" s="377" t="str">
        <f>ORÇAMENTO!E273</f>
        <v>UN</v>
      </c>
      <c r="H2130" s="383">
        <f>H2131</f>
        <v>13</v>
      </c>
      <c r="I2130" s="379"/>
      <c r="J2130" s="380"/>
      <c r="K2130" s="379"/>
      <c r="L2130" s="380"/>
      <c r="M2130" s="379"/>
      <c r="N2130" s="380"/>
      <c r="O2130" s="379"/>
    </row>
    <row r="2131" spans="1:15">
      <c r="A2131" s="342"/>
      <c r="B2131" s="342"/>
      <c r="C2131" s="1002" t="s">
        <v>2051</v>
      </c>
      <c r="D2131" s="1002"/>
      <c r="E2131" s="1002"/>
      <c r="F2131" s="1002"/>
      <c r="G2131" s="389" t="s">
        <v>55</v>
      </c>
      <c r="H2131" s="585">
        <v>13</v>
      </c>
      <c r="I2131" s="582"/>
      <c r="J2131" s="582"/>
      <c r="K2131" s="583"/>
      <c r="L2131" s="583"/>
      <c r="M2131" s="583"/>
      <c r="N2131" s="589"/>
      <c r="O2131" s="589"/>
    </row>
    <row r="2132" spans="1:15" ht="35.25" customHeight="1">
      <c r="A2132" s="377">
        <f>ORÇAMENTO!A274</f>
        <v>89783</v>
      </c>
      <c r="B2132" s="377" t="str">
        <f>ORÇAMENTO!C274</f>
        <v>13.02.15</v>
      </c>
      <c r="C2132" s="1047" t="str">
        <f>ORÇAMENTO!D274</f>
        <v>JUNÇÃO SIMPLES, PVC, SERIE NORMAL, ESGOTO PREDIAL, DN 40 MM, JUNTA SOLDÁVEL, FORNECIDO E INSTALADO EM RAMAL DE DESCARGA OU RAMAL DE ESGOTO SANITÁRIO. AF_12/2014</v>
      </c>
      <c r="D2132" s="1047"/>
      <c r="E2132" s="1047"/>
      <c r="F2132" s="1047"/>
      <c r="G2132" s="377" t="str">
        <f>ORÇAMENTO!E274</f>
        <v>UN</v>
      </c>
      <c r="H2132" s="383">
        <f>H2133</f>
        <v>13</v>
      </c>
      <c r="I2132" s="379"/>
      <c r="J2132" s="380"/>
      <c r="K2132" s="379"/>
      <c r="L2132" s="380"/>
      <c r="M2132" s="379"/>
      <c r="N2132" s="380"/>
      <c r="O2132" s="379"/>
    </row>
    <row r="2133" spans="1:15" ht="12.75" customHeight="1">
      <c r="A2133" s="342"/>
      <c r="B2133" s="342"/>
      <c r="C2133" s="1002" t="s">
        <v>2052</v>
      </c>
      <c r="D2133" s="1002"/>
      <c r="E2133" s="1002"/>
      <c r="F2133" s="1002"/>
      <c r="G2133" s="389"/>
      <c r="H2133" s="585">
        <v>13</v>
      </c>
      <c r="I2133" s="582"/>
      <c r="J2133" s="582"/>
      <c r="K2133" s="583"/>
      <c r="L2133" s="583"/>
      <c r="M2133" s="583"/>
      <c r="N2133" s="589"/>
      <c r="O2133" s="589"/>
    </row>
    <row r="2134" spans="1:15" ht="41.25" customHeight="1">
      <c r="A2134" s="377">
        <f>ORÇAMENTO!A275</f>
        <v>89785</v>
      </c>
      <c r="B2134" s="377" t="str">
        <f>ORÇAMENTO!C275</f>
        <v>13.02.16</v>
      </c>
      <c r="C2134" s="1047" t="str">
        <f>ORÇAMENTO!D275</f>
        <v>JUNÇÃO SIMPLES, PVC, SERIE NORMAL, ESGOTO PREDIAL, DN 50 X 50 MM, JUNTA ELÁSTICA, FORNECIDO E INSTALADO EM RAMAL DE DESCARGA OU RAMAL DE ESGOTO SANITÁRIO. AF_12/2014</v>
      </c>
      <c r="D2134" s="1047"/>
      <c r="E2134" s="1047"/>
      <c r="F2134" s="1047"/>
      <c r="G2134" s="377" t="str">
        <f>ORÇAMENTO!E275</f>
        <v>UN</v>
      </c>
      <c r="H2134" s="383">
        <f>H2135</f>
        <v>1</v>
      </c>
      <c r="I2134" s="379"/>
      <c r="J2134" s="380"/>
      <c r="K2134" s="379"/>
      <c r="L2134" s="380"/>
      <c r="M2134" s="379"/>
      <c r="N2134" s="380"/>
      <c r="O2134" s="379"/>
    </row>
    <row r="2135" spans="1:15" ht="12.75" customHeight="1">
      <c r="A2135" s="342"/>
      <c r="B2135" s="342"/>
      <c r="C2135" s="1002" t="s">
        <v>2053</v>
      </c>
      <c r="D2135" s="1002"/>
      <c r="E2135" s="1002"/>
      <c r="F2135" s="1002"/>
      <c r="G2135" s="389" t="s">
        <v>55</v>
      </c>
      <c r="H2135" s="585">
        <v>1</v>
      </c>
      <c r="I2135" s="582"/>
      <c r="J2135" s="582"/>
      <c r="K2135" s="583"/>
      <c r="L2135" s="583"/>
      <c r="M2135" s="583"/>
      <c r="N2135" s="589"/>
      <c r="O2135" s="589"/>
    </row>
    <row r="2136" spans="1:15" ht="53.25" customHeight="1">
      <c r="A2136" s="377">
        <f>ORÇAMENTO!A276</f>
        <v>89857</v>
      </c>
      <c r="B2136" s="377" t="str">
        <f>ORÇAMENTO!C276</f>
        <v>13.02.17</v>
      </c>
      <c r="C2136" s="1047" t="str">
        <f>ORÇAMENTO!D276</f>
        <v>LUVA DE CORRER, PVC, SERIE NORMAL, ESGOTO PREDIAL, DN 100 MM, JUNTA ELÁSTICA, FORNECIDO E INSTALADO EM SUBCOLETOR AÉREO DE ESGOTO SANITÁRIO. AF_12/2014</v>
      </c>
      <c r="D2136" s="1047"/>
      <c r="E2136" s="1047"/>
      <c r="F2136" s="1047"/>
      <c r="G2136" s="377" t="str">
        <f>ORÇAMENTO!E276</f>
        <v>UN</v>
      </c>
      <c r="H2136" s="383">
        <f>H2137</f>
        <v>94</v>
      </c>
      <c r="I2136" s="379"/>
      <c r="J2136" s="380"/>
      <c r="K2136" s="379"/>
      <c r="L2136" s="380"/>
      <c r="M2136" s="379"/>
      <c r="N2136" s="380"/>
      <c r="O2136" s="379"/>
    </row>
    <row r="2137" spans="1:15">
      <c r="A2137" s="342"/>
      <c r="B2137" s="342"/>
      <c r="C2137" s="1002" t="s">
        <v>2054</v>
      </c>
      <c r="D2137" s="1002"/>
      <c r="E2137" s="1002"/>
      <c r="F2137" s="1002"/>
      <c r="G2137" s="389" t="s">
        <v>55</v>
      </c>
      <c r="H2137" s="585">
        <v>94</v>
      </c>
      <c r="I2137" s="582"/>
      <c r="J2137" s="582"/>
      <c r="K2137" s="583"/>
      <c r="L2137" s="583"/>
      <c r="M2137" s="583"/>
      <c r="N2137" s="589"/>
      <c r="O2137" s="589"/>
    </row>
    <row r="2138" spans="1:15" ht="31.5" customHeight="1">
      <c r="A2138" s="377" t="str">
        <f>ORÇAMENTO!A277</f>
        <v>I-01822</v>
      </c>
      <c r="B2138" s="377" t="str">
        <f>ORÇAMENTO!C277</f>
        <v>13.02.18</v>
      </c>
      <c r="C2138" s="1047" t="str">
        <f>ORÇAMENTO!D277</f>
        <v>PORTA GRELHA PVC REDONDA, BRANCA, P/CAIXA E RALOS, D= 100MM</v>
      </c>
      <c r="D2138" s="1047"/>
      <c r="E2138" s="1047"/>
      <c r="F2138" s="1047"/>
      <c r="G2138" s="377" t="str">
        <f>ORÇAMENTO!E277</f>
        <v>UN</v>
      </c>
      <c r="H2138" s="383">
        <f>H2139</f>
        <v>18</v>
      </c>
      <c r="I2138" s="379"/>
      <c r="J2138" s="380"/>
      <c r="K2138" s="379"/>
      <c r="L2138" s="380"/>
      <c r="M2138" s="379"/>
      <c r="N2138" s="380"/>
      <c r="O2138" s="379"/>
    </row>
    <row r="2139" spans="1:15">
      <c r="A2139" s="342"/>
      <c r="B2139" s="342"/>
      <c r="C2139" s="1002" t="s">
        <v>2054</v>
      </c>
      <c r="D2139" s="1002"/>
      <c r="E2139" s="1002"/>
      <c r="F2139" s="1002"/>
      <c r="G2139" s="389" t="s">
        <v>55</v>
      </c>
      <c r="H2139" s="585">
        <v>18</v>
      </c>
      <c r="I2139" s="582"/>
      <c r="J2139" s="582"/>
      <c r="K2139" s="583"/>
      <c r="L2139" s="583"/>
      <c r="M2139" s="583"/>
      <c r="N2139" s="589"/>
      <c r="O2139" s="589"/>
    </row>
    <row r="2140" spans="1:15" ht="31.5" customHeight="1">
      <c r="A2140" s="377">
        <f>ORÇAMENTO!A278</f>
        <v>1657</v>
      </c>
      <c r="B2140" s="377" t="str">
        <f>ORÇAMENTO!C278</f>
        <v>13.02.19</v>
      </c>
      <c r="C2140" s="1047" t="str">
        <f>ORÇAMENTO!D278</f>
        <v>REDUÇÃO EXCÊNTRICA EM PVC RÍGIDO C/ ANÉIS, PARA ESGOTO PRIMÁRIO, DIÂM =100 X 75MM</v>
      </c>
      <c r="D2140" s="1047"/>
      <c r="E2140" s="1047"/>
      <c r="F2140" s="1047"/>
      <c r="G2140" s="377" t="str">
        <f>ORÇAMENTO!E278</f>
        <v>UN</v>
      </c>
      <c r="H2140" s="383">
        <f>H2141</f>
        <v>4</v>
      </c>
      <c r="I2140" s="379"/>
      <c r="J2140" s="380"/>
      <c r="K2140" s="379"/>
      <c r="L2140" s="380"/>
      <c r="M2140" s="379"/>
      <c r="N2140" s="380"/>
      <c r="O2140" s="379"/>
    </row>
    <row r="2141" spans="1:15">
      <c r="A2141" s="342"/>
      <c r="B2141" s="342"/>
      <c r="C2141" s="1002" t="s">
        <v>2055</v>
      </c>
      <c r="D2141" s="1002"/>
      <c r="E2141" s="1002"/>
      <c r="F2141" s="1002"/>
      <c r="G2141" s="389" t="s">
        <v>55</v>
      </c>
      <c r="H2141" s="585">
        <v>4</v>
      </c>
      <c r="I2141" s="582"/>
      <c r="J2141" s="582"/>
      <c r="K2141" s="583"/>
      <c r="L2141" s="583"/>
      <c r="M2141" s="583"/>
      <c r="N2141" s="589"/>
      <c r="O2141" s="589"/>
    </row>
    <row r="2142" spans="1:15" ht="41.25" customHeight="1">
      <c r="A2142" s="377">
        <f>ORÇAMENTO!A279</f>
        <v>89546</v>
      </c>
      <c r="B2142" s="377" t="str">
        <f>ORÇAMENTO!C279</f>
        <v>13.02.20</v>
      </c>
      <c r="C2142" s="1047" t="str">
        <f>ORÇAMENTO!D279</f>
        <v>BUCHA DE REDUÇÃO LONGA, PVC, SERIE R, ÁGUA PLUVIAL, DN 50 X 40 MM, JUNTA ELÁSTICA, FORNECIDO E INSTALADO EM RAMAL DE ENCAMINHAMENTO. AF_12/2014</v>
      </c>
      <c r="D2142" s="1047"/>
      <c r="E2142" s="1047"/>
      <c r="F2142" s="1047"/>
      <c r="G2142" s="377" t="str">
        <f>ORÇAMENTO!E279</f>
        <v>UN</v>
      </c>
      <c r="H2142" s="383">
        <f>H2143</f>
        <v>4</v>
      </c>
      <c r="I2142" s="379"/>
      <c r="J2142" s="380"/>
      <c r="K2142" s="379"/>
      <c r="L2142" s="380"/>
      <c r="M2142" s="379"/>
      <c r="N2142" s="380"/>
      <c r="O2142" s="379"/>
    </row>
    <row r="2143" spans="1:15">
      <c r="A2143" s="342"/>
      <c r="B2143" s="342"/>
      <c r="C2143" s="1002" t="s">
        <v>2056</v>
      </c>
      <c r="D2143" s="1002"/>
      <c r="E2143" s="1002"/>
      <c r="F2143" s="1002"/>
      <c r="G2143" s="389" t="s">
        <v>55</v>
      </c>
      <c r="H2143" s="726">
        <v>4</v>
      </c>
      <c r="I2143" s="582"/>
      <c r="J2143" s="582"/>
      <c r="K2143" s="583"/>
      <c r="L2143" s="583"/>
      <c r="M2143" s="583"/>
      <c r="N2143" s="589"/>
      <c r="O2143" s="589"/>
    </row>
    <row r="2144" spans="1:15" ht="42" customHeight="1">
      <c r="A2144" s="377">
        <f>ORÇAMENTO!A280</f>
        <v>1588</v>
      </c>
      <c r="B2144" s="377" t="str">
        <f>ORÇAMENTO!C280</f>
        <v>13.02.21</v>
      </c>
      <c r="C2144" s="1047" t="str">
        <f>ORÇAMENTO!D280</f>
        <v>TÊ SANITÁRIO EM PVC RÍGIDO SOLDÁVEL, PARA ESGOTO PRIMÁRIO, DIÂM = 100 X 50MM</v>
      </c>
      <c r="D2144" s="1047"/>
      <c r="E2144" s="1047"/>
      <c r="F2144" s="1047"/>
      <c r="G2144" s="377" t="str">
        <f>ORÇAMENTO!E280</f>
        <v>UN</v>
      </c>
      <c r="H2144" s="383">
        <f>H2145</f>
        <v>3</v>
      </c>
      <c r="I2144" s="379"/>
      <c r="J2144" s="380"/>
      <c r="K2144" s="379"/>
      <c r="L2144" s="380"/>
      <c r="M2144" s="379"/>
      <c r="N2144" s="380"/>
      <c r="O2144" s="379"/>
    </row>
    <row r="2145" spans="1:15">
      <c r="A2145" s="342"/>
      <c r="B2145" s="342"/>
      <c r="C2145" s="1002" t="s">
        <v>2057</v>
      </c>
      <c r="D2145" s="1002"/>
      <c r="E2145" s="1002"/>
      <c r="F2145" s="1002"/>
      <c r="G2145" s="337" t="s">
        <v>96</v>
      </c>
      <c r="H2145" s="342">
        <v>3</v>
      </c>
      <c r="I2145" s="420"/>
      <c r="J2145" s="420"/>
      <c r="K2145" s="583"/>
      <c r="L2145" s="583"/>
      <c r="M2145" s="583"/>
      <c r="N2145" s="589"/>
      <c r="O2145" s="589"/>
    </row>
    <row r="2146" spans="1:15" ht="46.5" customHeight="1">
      <c r="A2146" s="377">
        <f>ORÇAMENTO!A281</f>
        <v>1585</v>
      </c>
      <c r="B2146" s="377" t="str">
        <f>ORÇAMENTO!C281</f>
        <v>13.02.22</v>
      </c>
      <c r="C2146" s="1047" t="str">
        <f>ORÇAMENTO!D281</f>
        <v>TÊ SANITÁRIO EM PVC RÍGIDO SOLDÁVEL, PARA ESGOTO PRIMÁRIO, DIÂM = 50 X 50MM</v>
      </c>
      <c r="D2146" s="1047"/>
      <c r="E2146" s="1047"/>
      <c r="F2146" s="1047"/>
      <c r="G2146" s="377" t="str">
        <f>ORÇAMENTO!E281</f>
        <v>UN</v>
      </c>
      <c r="H2146" s="383">
        <f>H2147</f>
        <v>12</v>
      </c>
      <c r="I2146" s="379"/>
      <c r="J2146" s="380"/>
      <c r="K2146" s="379"/>
      <c r="L2146" s="380"/>
      <c r="M2146" s="379"/>
      <c r="N2146" s="380"/>
      <c r="O2146" s="379"/>
    </row>
    <row r="2147" spans="1:15">
      <c r="A2147" s="342"/>
      <c r="B2147" s="342"/>
      <c r="C2147" s="1002" t="s">
        <v>2058</v>
      </c>
      <c r="D2147" s="1002"/>
      <c r="E2147" s="1002"/>
      <c r="F2147" s="1002"/>
      <c r="G2147" s="389" t="s">
        <v>55</v>
      </c>
      <c r="H2147" s="585">
        <v>12</v>
      </c>
      <c r="I2147" s="582"/>
      <c r="J2147" s="582"/>
      <c r="K2147" s="583"/>
      <c r="L2147" s="583"/>
      <c r="M2147" s="583"/>
      <c r="N2147" s="589"/>
      <c r="O2147" s="589"/>
    </row>
    <row r="2148" spans="1:15" ht="44.25" customHeight="1">
      <c r="A2148" s="377">
        <f>ORÇAMENTO!A282</f>
        <v>89711</v>
      </c>
      <c r="B2148" s="377" t="str">
        <f>ORÇAMENTO!C282</f>
        <v>13.02.23</v>
      </c>
      <c r="C2148" s="1047" t="str">
        <f>ORÇAMENTO!D282</f>
        <v>TUBO PVC, SERIE NORMAL, ESGOTO PREDIAL, DN 40 MM, FORNECIDO E INSTALADO EM RAMAL DE DESCARGA OU RAMAL DE ESGOTO SANITÁRIO. AF_12/2014_P</v>
      </c>
      <c r="D2148" s="1047"/>
      <c r="E2148" s="1047"/>
      <c r="F2148" s="1047"/>
      <c r="G2148" s="377" t="str">
        <f>ORÇAMENTO!E282</f>
        <v>M</v>
      </c>
      <c r="H2148" s="383">
        <f>H2149</f>
        <v>120</v>
      </c>
      <c r="I2148" s="379"/>
      <c r="J2148" s="380"/>
      <c r="K2148" s="379"/>
      <c r="L2148" s="380"/>
      <c r="M2148" s="379"/>
      <c r="N2148" s="380"/>
      <c r="O2148" s="379"/>
    </row>
    <row r="2149" spans="1:15">
      <c r="A2149" s="342"/>
      <c r="B2149" s="342"/>
      <c r="C2149" s="1002" t="s">
        <v>2059</v>
      </c>
      <c r="D2149" s="1002"/>
      <c r="E2149" s="1002"/>
      <c r="F2149" s="1002"/>
      <c r="G2149" s="389" t="s">
        <v>246</v>
      </c>
      <c r="H2149" s="585">
        <f>20*6</f>
        <v>120</v>
      </c>
      <c r="I2149" s="582"/>
      <c r="J2149" s="582"/>
      <c r="K2149" s="583"/>
      <c r="L2149" s="583"/>
      <c r="M2149" s="583"/>
      <c r="N2149" s="589"/>
      <c r="O2149" s="589"/>
    </row>
    <row r="2150" spans="1:15" ht="27" customHeight="1">
      <c r="A2150" s="377">
        <f>ORÇAMENTO!A283</f>
        <v>1530</v>
      </c>
      <c r="B2150" s="377" t="str">
        <f>ORÇAMENTO!C283</f>
        <v>13.02.24</v>
      </c>
      <c r="C2150" s="1047" t="str">
        <f>ORÇAMENTO!D283</f>
        <v>TUBO PVC RÍGIDO C/ANEL BORRACHA, SERIE NORMAL, P/ESGOTO PREDIAL, D = 50MM</v>
      </c>
      <c r="D2150" s="1047"/>
      <c r="E2150" s="1047"/>
      <c r="F2150" s="1047"/>
      <c r="G2150" s="377" t="str">
        <f>ORÇAMENTO!E283</f>
        <v>M</v>
      </c>
      <c r="H2150" s="383">
        <f>H2151</f>
        <v>234</v>
      </c>
      <c r="I2150" s="379"/>
      <c r="J2150" s="380"/>
      <c r="K2150" s="379"/>
      <c r="L2150" s="380"/>
      <c r="M2150" s="379"/>
      <c r="N2150" s="380"/>
      <c r="O2150" s="379"/>
    </row>
    <row r="2151" spans="1:15">
      <c r="A2151" s="342"/>
      <c r="B2151" s="342"/>
      <c r="C2151" s="1002" t="s">
        <v>2060</v>
      </c>
      <c r="D2151" s="1002"/>
      <c r="E2151" s="1002"/>
      <c r="F2151" s="1002"/>
      <c r="G2151" s="389" t="s">
        <v>246</v>
      </c>
      <c r="H2151" s="585">
        <v>234</v>
      </c>
      <c r="I2151" s="582"/>
      <c r="J2151" s="582"/>
      <c r="K2151" s="583"/>
      <c r="L2151" s="583"/>
      <c r="M2151" s="583"/>
      <c r="N2151" s="589"/>
      <c r="O2151" s="589"/>
    </row>
    <row r="2152" spans="1:15" ht="31.5" customHeight="1">
      <c r="A2152" s="377">
        <f>ORÇAMENTO!A284</f>
        <v>1531</v>
      </c>
      <c r="B2152" s="377" t="str">
        <f>ORÇAMENTO!C284</f>
        <v>13.02.25</v>
      </c>
      <c r="C2152" s="1047" t="str">
        <f>ORÇAMENTO!D284</f>
        <v>TUBO PVC RÍGIDO C/ANEL BORRACHA, SERIE NORMAL, P/ESGOTO PREDIAL, D = 75MM</v>
      </c>
      <c r="D2152" s="1047"/>
      <c r="E2152" s="1047"/>
      <c r="F2152" s="1047"/>
      <c r="G2152" s="377" t="str">
        <f>ORÇAMENTO!E284</f>
        <v>M</v>
      </c>
      <c r="H2152" s="383">
        <f>H2153</f>
        <v>12</v>
      </c>
      <c r="I2152" s="379"/>
      <c r="J2152" s="380"/>
      <c r="K2152" s="379"/>
      <c r="L2152" s="380"/>
      <c r="M2152" s="379"/>
      <c r="N2152" s="380"/>
      <c r="O2152" s="379"/>
    </row>
    <row r="2153" spans="1:15">
      <c r="A2153" s="342"/>
      <c r="B2153" s="342"/>
      <c r="C2153" s="1002" t="s">
        <v>2061</v>
      </c>
      <c r="D2153" s="1002"/>
      <c r="E2153" s="1002"/>
      <c r="F2153" s="1002"/>
      <c r="G2153" s="389" t="s">
        <v>246</v>
      </c>
      <c r="H2153" s="585">
        <v>12</v>
      </c>
      <c r="I2153" s="582"/>
      <c r="J2153" s="582"/>
      <c r="K2153" s="583"/>
      <c r="L2153" s="583"/>
      <c r="M2153" s="583"/>
      <c r="N2153" s="589"/>
      <c r="O2153" s="589"/>
    </row>
    <row r="2154" spans="1:15" ht="35.25" customHeight="1">
      <c r="A2154" s="377">
        <f>ORÇAMENTO!A285</f>
        <v>1532</v>
      </c>
      <c r="B2154" s="377" t="str">
        <f>ORÇAMENTO!C285</f>
        <v>13.02.26</v>
      </c>
      <c r="C2154" s="1047" t="str">
        <f>ORÇAMENTO!D285</f>
        <v>TUBO PVC RÍGIDO C/ANEL BORRACHA, SERIE NORMAL, P/ESGOTO PREDIAL, D = 100MM</v>
      </c>
      <c r="D2154" s="1047"/>
      <c r="E2154" s="1047"/>
      <c r="F2154" s="1047"/>
      <c r="G2154" s="377" t="str">
        <f>ORÇAMENTO!E285</f>
        <v>M</v>
      </c>
      <c r="H2154" s="383">
        <f>H2155</f>
        <v>590</v>
      </c>
      <c r="I2154" s="379"/>
      <c r="J2154" s="380"/>
      <c r="K2154" s="379"/>
      <c r="L2154" s="380"/>
      <c r="M2154" s="379"/>
      <c r="N2154" s="380"/>
      <c r="O2154" s="379"/>
    </row>
    <row r="2155" spans="1:15">
      <c r="A2155" s="342"/>
      <c r="B2155" s="342"/>
      <c r="C2155" s="1002" t="s">
        <v>2062</v>
      </c>
      <c r="D2155" s="1002"/>
      <c r="E2155" s="1002"/>
      <c r="F2155" s="1002"/>
      <c r="G2155" s="389" t="s">
        <v>246</v>
      </c>
      <c r="H2155" s="585">
        <v>590</v>
      </c>
      <c r="I2155" s="582"/>
      <c r="J2155" s="582"/>
      <c r="K2155" s="583"/>
      <c r="L2155" s="583"/>
      <c r="M2155" s="583"/>
      <c r="N2155" s="589"/>
      <c r="O2155" s="589"/>
    </row>
    <row r="2156" spans="1:15" ht="46.5" customHeight="1">
      <c r="A2156" s="377">
        <f>ORÇAMENTO!A286</f>
        <v>89849</v>
      </c>
      <c r="B2156" s="377" t="str">
        <f>ORÇAMENTO!C286</f>
        <v>13.02.27</v>
      </c>
      <c r="C2156" s="1047" t="str">
        <f>ORÇAMENTO!D286</f>
        <v>TUBO PVC, SERIE NORMAL, ESGOTO PREDIAL, DN 150 MM, FORNECIDO E INSTALADO EM SUBCOLETOR AÉREO DE ESGOTO SANITÁRIO. AF_12/2014_P</v>
      </c>
      <c r="D2156" s="1047"/>
      <c r="E2156" s="1047"/>
      <c r="F2156" s="1047"/>
      <c r="G2156" s="377" t="str">
        <f>ORÇAMENTO!E286</f>
        <v>M</v>
      </c>
      <c r="H2156" s="383">
        <f>H2157</f>
        <v>48</v>
      </c>
      <c r="I2156" s="379"/>
      <c r="J2156" s="380"/>
      <c r="K2156" s="379"/>
      <c r="L2156" s="380"/>
      <c r="M2156" s="379"/>
      <c r="N2156" s="380"/>
      <c r="O2156" s="379"/>
    </row>
    <row r="2157" spans="1:15">
      <c r="A2157" s="342"/>
      <c r="B2157" s="342"/>
      <c r="C2157" s="1002" t="s">
        <v>2063</v>
      </c>
      <c r="D2157" s="1002"/>
      <c r="E2157" s="1002"/>
      <c r="F2157" s="1002"/>
      <c r="G2157" s="389" t="s">
        <v>246</v>
      </c>
      <c r="H2157" s="585">
        <v>48</v>
      </c>
      <c r="I2157" s="582"/>
      <c r="J2157" s="582"/>
      <c r="K2157" s="583"/>
      <c r="L2157" s="583"/>
      <c r="M2157" s="583"/>
      <c r="N2157" s="589"/>
      <c r="O2157" s="589"/>
    </row>
    <row r="2158" spans="1:15" ht="36" customHeight="1">
      <c r="A2158" s="377">
        <f>ORÇAMENTO!A287</f>
        <v>8473</v>
      </c>
      <c r="B2158" s="377" t="str">
        <f>ORÇAMENTO!C287</f>
        <v>13.02.28</v>
      </c>
      <c r="C2158" s="1047" t="str">
        <f>ORÇAMENTO!D287</f>
        <v>TUBO PVC RÍGIDO C/ANEL BORRACHA, SERIE NORMAL, P/ESGOTO PREDIAL, D = 200MM</v>
      </c>
      <c r="D2158" s="1047"/>
      <c r="E2158" s="1047"/>
      <c r="F2158" s="1047"/>
      <c r="G2158" s="377" t="str">
        <f>ORÇAMENTO!E287</f>
        <v>M</v>
      </c>
      <c r="H2158" s="383">
        <f>H2159</f>
        <v>12</v>
      </c>
      <c r="I2158" s="379"/>
      <c r="J2158" s="380"/>
      <c r="K2158" s="379"/>
      <c r="L2158" s="380"/>
      <c r="M2158" s="379"/>
      <c r="N2158" s="380"/>
      <c r="O2158" s="379"/>
    </row>
    <row r="2159" spans="1:15">
      <c r="A2159" s="342"/>
      <c r="B2159" s="342"/>
      <c r="C2159" s="1002" t="s">
        <v>2064</v>
      </c>
      <c r="D2159" s="1002"/>
      <c r="E2159" s="1002"/>
      <c r="F2159" s="1002"/>
      <c r="G2159" s="389" t="s">
        <v>246</v>
      </c>
      <c r="H2159" s="585">
        <v>12</v>
      </c>
      <c r="I2159" s="582"/>
      <c r="J2159" s="582"/>
      <c r="K2159" s="583"/>
      <c r="L2159" s="583"/>
      <c r="M2159" s="583"/>
      <c r="N2159" s="589"/>
      <c r="O2159" s="589"/>
    </row>
    <row r="2160" spans="1:15" ht="42.6" customHeight="1">
      <c r="A2160" s="377">
        <f>ORÇAMENTO!A288</f>
        <v>9383</v>
      </c>
      <c r="B2160" s="377" t="str">
        <f>ORÇAMENTO!C288</f>
        <v>13.02.29</v>
      </c>
      <c r="C2160" s="1003" t="str">
        <f>ORÇAMENTO!D288</f>
        <v>CAIXA SIFONADA QUADRADA, COM TRÊS ENTRADAS E UMA SAIDA, D = 100X150X50MM, BRANCO, COM GRELHA, AKROS OU SIMILAR</v>
      </c>
      <c r="D2160" s="1003"/>
      <c r="E2160" s="1003"/>
      <c r="F2160" s="1003"/>
      <c r="G2160" s="377" t="str">
        <f>ORÇAMENTO!E288</f>
        <v>UN</v>
      </c>
      <c r="H2160" s="383">
        <f>H2161</f>
        <v>18</v>
      </c>
      <c r="I2160" s="379"/>
      <c r="J2160" s="380"/>
      <c r="K2160" s="379"/>
      <c r="L2160" s="380"/>
      <c r="M2160" s="379"/>
      <c r="N2160" s="380"/>
      <c r="O2160" s="379"/>
    </row>
    <row r="2161" spans="1:15">
      <c r="A2161" s="342"/>
      <c r="B2161" s="342"/>
      <c r="C2161" s="1002" t="s">
        <v>2065</v>
      </c>
      <c r="D2161" s="1002"/>
      <c r="E2161" s="1002"/>
      <c r="F2161" s="1002"/>
      <c r="G2161" s="389" t="s">
        <v>55</v>
      </c>
      <c r="H2161" s="585">
        <v>18</v>
      </c>
      <c r="I2161" s="582"/>
      <c r="J2161" s="582"/>
      <c r="K2161" s="583"/>
      <c r="L2161" s="583"/>
      <c r="M2161" s="583"/>
      <c r="N2161" s="589"/>
      <c r="O2161" s="589"/>
    </row>
    <row r="2162" spans="1:15" ht="43.9" customHeight="1">
      <c r="A2162" s="377">
        <f>ORÇAMENTO!A289</f>
        <v>89709</v>
      </c>
      <c r="B2162" s="377" t="str">
        <f>ORÇAMENTO!C289</f>
        <v>13.02.30</v>
      </c>
      <c r="C2162" s="1047" t="str">
        <f>ORÇAMENTO!D289</f>
        <v>RALO SIFONADO, PVC, DN 100 X 40 MM, JUNTA SOLDÁVEL, FORNECIDO E INSTALADO EM RAMAL DE DESCARGA OU EM RAMAL DE ESGOTO SANITÁRIO. AF_12/2014</v>
      </c>
      <c r="D2162" s="1047"/>
      <c r="E2162" s="1047"/>
      <c r="F2162" s="1047"/>
      <c r="G2162" s="377" t="s">
        <v>55</v>
      </c>
      <c r="H2162" s="395">
        <f>SUM(H2163:H2164)</f>
        <v>66</v>
      </c>
      <c r="I2162" s="379"/>
      <c r="J2162" s="380"/>
      <c r="K2162" s="379"/>
      <c r="L2162" s="380"/>
      <c r="M2162" s="379"/>
      <c r="N2162" s="380"/>
      <c r="O2162" s="379"/>
    </row>
    <row r="2163" spans="1:15" s="129" customFormat="1">
      <c r="A2163" s="337"/>
      <c r="B2163" s="337"/>
      <c r="C2163" s="1002" t="s">
        <v>2066</v>
      </c>
      <c r="D2163" s="1002"/>
      <c r="E2163" s="1002"/>
      <c r="F2163" s="1002"/>
      <c r="G2163" s="389" t="s">
        <v>55</v>
      </c>
      <c r="H2163" s="588">
        <v>12</v>
      </c>
      <c r="I2163" s="582"/>
      <c r="J2163" s="582"/>
      <c r="K2163" s="583"/>
      <c r="L2163" s="583"/>
      <c r="M2163" s="583"/>
      <c r="N2163" s="589"/>
      <c r="O2163" s="589"/>
    </row>
    <row r="2164" spans="1:15" s="129" customFormat="1">
      <c r="A2164" s="337"/>
      <c r="B2164" s="337"/>
      <c r="C2164" s="1002" t="s">
        <v>2067</v>
      </c>
      <c r="D2164" s="1002"/>
      <c r="E2164" s="1002"/>
      <c r="F2164" s="1002"/>
      <c r="G2164" s="389" t="s">
        <v>55</v>
      </c>
      <c r="H2164" s="588">
        <v>54</v>
      </c>
      <c r="I2164" s="582"/>
      <c r="J2164" s="582"/>
      <c r="K2164" s="583"/>
      <c r="L2164" s="583"/>
      <c r="M2164" s="583"/>
      <c r="N2164" s="589"/>
      <c r="O2164" s="589"/>
    </row>
    <row r="2165" spans="1:15" ht="15.75" customHeight="1">
      <c r="A2165" s="377">
        <f>ORÇAMENTO!A290</f>
        <v>4883</v>
      </c>
      <c r="B2165" s="377" t="str">
        <f>ORÇAMENTO!C290</f>
        <v>13.02.31</v>
      </c>
      <c r="C2165" s="1047" t="str">
        <f>ORÇAMENTO!D290</f>
        <v>CAIXA DE INSPEÇÃO 0.60 X 0.60 X 0.60M</v>
      </c>
      <c r="D2165" s="1047"/>
      <c r="E2165" s="1047"/>
      <c r="F2165" s="1047"/>
      <c r="G2165" s="377" t="str">
        <f>ORÇAMENTO!E290</f>
        <v>UN</v>
      </c>
      <c r="H2165" s="380">
        <f>H2166</f>
        <v>26</v>
      </c>
      <c r="I2165" s="379"/>
      <c r="J2165" s="380"/>
      <c r="K2165" s="379"/>
      <c r="L2165" s="380"/>
      <c r="M2165" s="379"/>
      <c r="N2165" s="380"/>
      <c r="O2165" s="379"/>
    </row>
    <row r="2166" spans="1:15">
      <c r="A2166" s="342"/>
      <c r="B2166" s="342"/>
      <c r="C2166" s="1002" t="s">
        <v>2068</v>
      </c>
      <c r="D2166" s="1002"/>
      <c r="E2166" s="1002"/>
      <c r="F2166" s="1002"/>
      <c r="G2166" s="389" t="s">
        <v>96</v>
      </c>
      <c r="H2166" s="582">
        <v>26</v>
      </c>
      <c r="I2166" s="582"/>
      <c r="J2166" s="582"/>
      <c r="K2166" s="583"/>
      <c r="L2166" s="583"/>
      <c r="M2166" s="583"/>
      <c r="N2166" s="589"/>
      <c r="O2166" s="589"/>
    </row>
    <row r="2167" spans="1:15" ht="27.6" customHeight="1">
      <c r="A2167" s="377">
        <f>ORÇAMENTO!A291</f>
        <v>10266</v>
      </c>
      <c r="B2167" s="377" t="str">
        <f>ORÇAMENTO!C291</f>
        <v>13.02.32</v>
      </c>
      <c r="C2167" s="1047" t="str">
        <f>ORÇAMENTO!D291</f>
        <v>TERMINAL DE VENTILAÇÃO EM PVC RÍGIDO SOLDÁVEL, PARA ESGOTO PRIMÁRIO, DIÂM = 100MM</v>
      </c>
      <c r="D2167" s="1047"/>
      <c r="E2167" s="1047"/>
      <c r="F2167" s="1047"/>
      <c r="G2167" s="377" t="str">
        <f>ORÇAMENTO!E291</f>
        <v>UN</v>
      </c>
      <c r="H2167" s="380">
        <f>H2168</f>
        <v>7</v>
      </c>
      <c r="I2167" s="379"/>
      <c r="J2167" s="380"/>
      <c r="K2167" s="379"/>
      <c r="L2167" s="380"/>
      <c r="M2167" s="379"/>
      <c r="N2167" s="380"/>
      <c r="O2167" s="379"/>
    </row>
    <row r="2168" spans="1:15">
      <c r="A2168" s="342"/>
      <c r="B2168" s="342"/>
      <c r="C2168" s="1002" t="s">
        <v>2069</v>
      </c>
      <c r="D2168" s="1002"/>
      <c r="E2168" s="1002"/>
      <c r="F2168" s="1002"/>
      <c r="G2168" s="389" t="s">
        <v>96</v>
      </c>
      <c r="H2168" s="582">
        <v>7</v>
      </c>
      <c r="I2168" s="582"/>
      <c r="J2168" s="582"/>
      <c r="K2168" s="583"/>
      <c r="L2168" s="583"/>
      <c r="M2168" s="583"/>
      <c r="N2168" s="589"/>
      <c r="O2168" s="589"/>
    </row>
    <row r="2169" spans="1:15" ht="27.6" customHeight="1">
      <c r="A2169" s="377">
        <f>ORÇAMENTO!A292</f>
        <v>1212</v>
      </c>
      <c r="B2169" s="377" t="str">
        <f>ORÇAMENTO!C292</f>
        <v>13.02.33</v>
      </c>
      <c r="C2169" s="1047" t="str">
        <f>ORÇAMENTO!D292</f>
        <v>ANEL DE BORRACHA PARA TUBO PVC SANITARIO D = 100MM</v>
      </c>
      <c r="D2169" s="1047"/>
      <c r="E2169" s="1047"/>
      <c r="F2169" s="1047"/>
      <c r="G2169" s="377" t="str">
        <f>ORÇAMENTO!E292</f>
        <v>UN</v>
      </c>
      <c r="H2169" s="380">
        <f>H2170</f>
        <v>51</v>
      </c>
      <c r="I2169" s="379"/>
      <c r="J2169" s="380"/>
      <c r="K2169" s="379"/>
      <c r="L2169" s="380"/>
      <c r="M2169" s="379"/>
      <c r="N2169" s="380"/>
      <c r="O2169" s="379"/>
    </row>
    <row r="2170" spans="1:15">
      <c r="A2170" s="342"/>
      <c r="B2170" s="342"/>
      <c r="C2170" s="1002" t="s">
        <v>2070</v>
      </c>
      <c r="D2170" s="1002"/>
      <c r="E2170" s="1002"/>
      <c r="F2170" s="1002"/>
      <c r="G2170" s="389" t="s">
        <v>96</v>
      </c>
      <c r="H2170" s="582">
        <v>51</v>
      </c>
      <c r="I2170" s="582"/>
      <c r="J2170" s="582"/>
      <c r="K2170" s="583"/>
      <c r="L2170" s="583"/>
      <c r="M2170" s="583"/>
      <c r="N2170" s="589"/>
      <c r="O2170" s="589"/>
    </row>
    <row r="2171" spans="1:15" ht="27.6" customHeight="1">
      <c r="A2171" s="377">
        <f>ORÇAMENTO!A293</f>
        <v>3404</v>
      </c>
      <c r="B2171" s="377" t="str">
        <f>ORÇAMENTO!C293</f>
        <v>13.02.34</v>
      </c>
      <c r="C2171" s="1047" t="str">
        <f>ORÇAMENTO!D293</f>
        <v>ANEL DE BORRACHA PARA TUBO PVC SANITARIO D = 50MM</v>
      </c>
      <c r="D2171" s="1047"/>
      <c r="E2171" s="1047"/>
      <c r="F2171" s="1047"/>
      <c r="G2171" s="377" t="str">
        <f>ORÇAMENTO!E293</f>
        <v>UN</v>
      </c>
      <c r="H2171" s="380">
        <f>SUM(H2172:H2173)</f>
        <v>78</v>
      </c>
      <c r="I2171" s="379"/>
      <c r="J2171" s="380"/>
      <c r="K2171" s="379"/>
      <c r="L2171" s="380"/>
      <c r="M2171" s="379"/>
      <c r="N2171" s="380"/>
      <c r="O2171" s="379"/>
    </row>
    <row r="2172" spans="1:15">
      <c r="A2172" s="342"/>
      <c r="B2172" s="342"/>
      <c r="C2172" s="1002" t="s">
        <v>2071</v>
      </c>
      <c r="D2172" s="1002"/>
      <c r="E2172" s="1002"/>
      <c r="F2172" s="1002"/>
      <c r="G2172" s="389" t="s">
        <v>96</v>
      </c>
      <c r="H2172" s="582">
        <v>64</v>
      </c>
      <c r="I2172" s="582"/>
      <c r="J2172" s="582"/>
      <c r="K2172" s="583"/>
      <c r="L2172" s="583"/>
      <c r="M2172" s="583"/>
      <c r="N2172" s="589"/>
      <c r="O2172" s="589"/>
    </row>
    <row r="2173" spans="1:15">
      <c r="A2173" s="342"/>
      <c r="B2173" s="342"/>
      <c r="C2173" s="1002" t="s">
        <v>2072</v>
      </c>
      <c r="D2173" s="1002"/>
      <c r="E2173" s="1002"/>
      <c r="F2173" s="1002"/>
      <c r="G2173" s="389" t="s">
        <v>96</v>
      </c>
      <c r="H2173" s="582">
        <v>14</v>
      </c>
      <c r="I2173" s="582"/>
      <c r="J2173" s="582"/>
      <c r="K2173" s="583"/>
      <c r="L2173" s="583"/>
      <c r="M2173" s="583"/>
      <c r="N2173" s="589"/>
      <c r="O2173" s="589"/>
    </row>
    <row r="2174" spans="1:15">
      <c r="A2174" s="344">
        <f>ORÇAMENTO!A294</f>
        <v>4719</v>
      </c>
      <c r="B2174" s="344" t="str">
        <f>ORÇAMENTO!C294</f>
        <v>13.02.35</v>
      </c>
      <c r="C2174" s="1020" t="str">
        <f>ORÇAMENTO!D294</f>
        <v>CAIXA DE ÁGUAS PLUVIAIS EM PVC 300MM</v>
      </c>
      <c r="D2174" s="1020"/>
      <c r="E2174" s="1020"/>
      <c r="F2174" s="1020"/>
      <c r="G2174" s="344" t="str">
        <f>ORÇAMENTO!E294</f>
        <v xml:space="preserve">UN </v>
      </c>
      <c r="H2174" s="429">
        <f>SUM(H2175)</f>
        <v>12</v>
      </c>
      <c r="I2174" s="345"/>
      <c r="J2174" s="429"/>
      <c r="K2174" s="345"/>
      <c r="L2174" s="429"/>
      <c r="M2174" s="345"/>
      <c r="N2174" s="429"/>
      <c r="O2174" s="345"/>
    </row>
    <row r="2175" spans="1:15">
      <c r="A2175" s="342"/>
      <c r="B2175" s="342"/>
      <c r="C2175" s="1019" t="s">
        <v>2073</v>
      </c>
      <c r="D2175" s="1019"/>
      <c r="E2175" s="1019"/>
      <c r="F2175" s="1019"/>
      <c r="G2175" s="389" t="s">
        <v>96</v>
      </c>
      <c r="H2175" s="582">
        <v>12</v>
      </c>
      <c r="I2175" s="582"/>
      <c r="J2175" s="582"/>
      <c r="K2175" s="583"/>
      <c r="L2175" s="583"/>
      <c r="M2175" s="583"/>
      <c r="N2175" s="589"/>
      <c r="O2175" s="589"/>
    </row>
    <row r="2176" spans="1:15" ht="37.5" customHeight="1">
      <c r="A2176" s="344">
        <f>ORÇAMENTO!A295</f>
        <v>3232</v>
      </c>
      <c r="B2176" s="344" t="str">
        <f>ORÇAMENTO!C295</f>
        <v>13.02.36</v>
      </c>
      <c r="C2176" s="1020" t="str">
        <f>ORÇAMENTO!D295</f>
        <v>CAIXA DE PASSAGEM EM ALVENARIA DE TIJOLOS MACIÇOS ESP. = 0,12M, DIM. INT. = 0.30 X 0.30 X 0.40M, COM GRELHA DE FERRO FUNDIDO</v>
      </c>
      <c r="D2176" s="1020"/>
      <c r="E2176" s="1020"/>
      <c r="F2176" s="1020"/>
      <c r="G2176" s="344" t="str">
        <f>ORÇAMENTO!E295</f>
        <v xml:space="preserve">UN </v>
      </c>
      <c r="H2176" s="429">
        <f>SUM(H2177)</f>
        <v>10</v>
      </c>
      <c r="I2176" s="345"/>
      <c r="J2176" s="429"/>
      <c r="K2176" s="345"/>
      <c r="L2176" s="429"/>
      <c r="M2176" s="345"/>
      <c r="N2176" s="429"/>
      <c r="O2176" s="345"/>
    </row>
    <row r="2177" spans="1:15">
      <c r="A2177" s="342"/>
      <c r="B2177" s="342"/>
      <c r="C2177" s="1019" t="s">
        <v>2074</v>
      </c>
      <c r="D2177" s="1019"/>
      <c r="E2177" s="1019"/>
      <c r="F2177" s="1019"/>
      <c r="G2177" s="389" t="s">
        <v>96</v>
      </c>
      <c r="H2177" s="582">
        <v>10</v>
      </c>
      <c r="I2177" s="582"/>
      <c r="J2177" s="582"/>
      <c r="K2177" s="583"/>
      <c r="L2177" s="583"/>
      <c r="M2177" s="583"/>
      <c r="N2177" s="589"/>
      <c r="O2177" s="589"/>
    </row>
    <row r="2178" spans="1:15" ht="25.5" customHeight="1">
      <c r="A2178" s="344">
        <f>ORÇAMENTO!A296</f>
        <v>6389</v>
      </c>
      <c r="B2178" s="344" t="str">
        <f>ORÇAMENTO!C296</f>
        <v>13.02.37</v>
      </c>
      <c r="C2178" s="1020" t="str">
        <f>ORÇAMENTO!D296</f>
        <v>CAIXA DE PASSAGEM EM ALVENARIA DE TIJOLOS MACIÇOS DIM. INT. = 0,60X0,60X1,20M</v>
      </c>
      <c r="D2178" s="1020"/>
      <c r="E2178" s="1020"/>
      <c r="F2178" s="1020"/>
      <c r="G2178" s="344" t="str">
        <f>ORÇAMENTO!E296</f>
        <v xml:space="preserve">UN </v>
      </c>
      <c r="H2178" s="429">
        <f>SUM(H2179:H2180)</f>
        <v>38</v>
      </c>
      <c r="I2178" s="345"/>
      <c r="J2178" s="429"/>
      <c r="K2178" s="345"/>
      <c r="L2178" s="429"/>
      <c r="M2178" s="345"/>
      <c r="N2178" s="429"/>
      <c r="O2178" s="345"/>
    </row>
    <row r="2179" spans="1:15">
      <c r="A2179" s="342"/>
      <c r="B2179" s="342"/>
      <c r="C2179" s="1019" t="s">
        <v>2075</v>
      </c>
      <c r="D2179" s="1019"/>
      <c r="E2179" s="1019"/>
      <c r="F2179" s="1019"/>
      <c r="G2179" s="389" t="s">
        <v>96</v>
      </c>
      <c r="H2179" s="582">
        <v>18</v>
      </c>
      <c r="I2179" s="582"/>
      <c r="J2179" s="582"/>
      <c r="K2179" s="583"/>
      <c r="L2179" s="583"/>
      <c r="M2179" s="583"/>
      <c r="N2179" s="589"/>
      <c r="O2179" s="589"/>
    </row>
    <row r="2180" spans="1:15">
      <c r="A2180" s="342"/>
      <c r="B2180" s="342"/>
      <c r="C2180" s="1019" t="s">
        <v>2076</v>
      </c>
      <c r="D2180" s="1019"/>
      <c r="E2180" s="1019"/>
      <c r="F2180" s="1019"/>
      <c r="G2180" s="442" t="s">
        <v>96</v>
      </c>
      <c r="H2180" s="609">
        <v>20</v>
      </c>
      <c r="I2180" s="609"/>
      <c r="J2180" s="582"/>
      <c r="K2180" s="583"/>
      <c r="L2180" s="583"/>
      <c r="M2180" s="583"/>
      <c r="N2180" s="589"/>
      <c r="O2180" s="589"/>
    </row>
    <row r="2181" spans="1:15">
      <c r="A2181" s="344">
        <f>ORÇAMENTO!A297</f>
        <v>4283</v>
      </c>
      <c r="B2181" s="344" t="str">
        <f>ORÇAMENTO!C297</f>
        <v>13.02.38</v>
      </c>
      <c r="C2181" s="1020" t="str">
        <f>ORÇAMENTO!D297</f>
        <v>RALO HEMISFÉRICO EM Fº Fº, TIPO ABACAXI Ø 100MM</v>
      </c>
      <c r="D2181" s="1020"/>
      <c r="E2181" s="1020"/>
      <c r="F2181" s="1020"/>
      <c r="G2181" s="344" t="str">
        <f>ORÇAMENTO!E297</f>
        <v xml:space="preserve">UN </v>
      </c>
      <c r="H2181" s="429">
        <f>SUM(H2182:H2182)</f>
        <v>54</v>
      </c>
      <c r="I2181" s="345"/>
      <c r="J2181" s="429"/>
      <c r="K2181" s="345"/>
      <c r="L2181" s="429"/>
      <c r="M2181" s="345"/>
      <c r="N2181" s="429"/>
      <c r="O2181" s="345"/>
    </row>
    <row r="2182" spans="1:15">
      <c r="A2182" s="342"/>
      <c r="B2182" s="342"/>
      <c r="C2182" s="1019" t="s">
        <v>2067</v>
      </c>
      <c r="D2182" s="1019"/>
      <c r="E2182" s="1019"/>
      <c r="F2182" s="1019"/>
      <c r="G2182" s="389" t="s">
        <v>55</v>
      </c>
      <c r="H2182" s="690">
        <v>54</v>
      </c>
      <c r="I2182" s="582"/>
      <c r="J2182" s="582"/>
      <c r="K2182" s="583"/>
      <c r="L2182" s="583"/>
      <c r="M2182" s="583"/>
      <c r="N2182" s="589"/>
      <c r="O2182" s="589"/>
    </row>
    <row r="2183" spans="1:15" ht="12.75" customHeight="1">
      <c r="A2183" s="373" t="s">
        <v>11</v>
      </c>
      <c r="B2183" s="375" t="s">
        <v>13</v>
      </c>
      <c r="C2183" s="1007" t="s">
        <v>1443</v>
      </c>
      <c r="D2183" s="1007"/>
      <c r="E2183" s="1007"/>
      <c r="F2183" s="1007"/>
      <c r="G2183" s="375" t="s">
        <v>15</v>
      </c>
      <c r="H2183" s="375" t="s">
        <v>1444</v>
      </c>
      <c r="I2183" s="375" t="s">
        <v>1445</v>
      </c>
      <c r="J2183" s="375" t="s">
        <v>1446</v>
      </c>
      <c r="K2183" s="375" t="s">
        <v>1447</v>
      </c>
      <c r="L2183" s="375" t="s">
        <v>1448</v>
      </c>
      <c r="M2183" s="375" t="s">
        <v>1457</v>
      </c>
      <c r="N2183" s="375" t="s">
        <v>1450</v>
      </c>
      <c r="O2183" s="375" t="s">
        <v>1451</v>
      </c>
    </row>
    <row r="2184" spans="1:15">
      <c r="A2184" s="376"/>
      <c r="B2184" s="376" t="str">
        <f>ORÇAMENTO!C298</f>
        <v>13.03</v>
      </c>
      <c r="C2184" s="1008" t="str">
        <f>ORÇAMENTO!D298</f>
        <v>LOUÇAS E METAIS SANITÁRIOS</v>
      </c>
      <c r="D2184" s="1008"/>
      <c r="E2184" s="1008"/>
      <c r="F2184" s="1008"/>
      <c r="G2184" s="1082"/>
      <c r="H2184" s="1082"/>
      <c r="I2184" s="1082"/>
      <c r="J2184" s="1082"/>
      <c r="K2184" s="1082"/>
      <c r="L2184" s="1082"/>
      <c r="M2184" s="1082"/>
      <c r="N2184" s="1082"/>
      <c r="O2184" s="1082"/>
    </row>
    <row r="2185" spans="1:15" ht="31.5" customHeight="1">
      <c r="A2185" s="377">
        <f>ORÇAMENTO!A299</f>
        <v>1472</v>
      </c>
      <c r="B2185" s="377" t="str">
        <f>ORÇAMENTO!C299</f>
        <v>13.03.01</v>
      </c>
      <c r="C2185" s="1047" t="str">
        <f>ORÇAMENTO!D299</f>
        <v xml:space="preserve">VÁLVULA DE DESCARGA CROMADA C/ CANOPLA LISA 40 MM (1 1/2") </v>
      </c>
      <c r="D2185" s="1047"/>
      <c r="E2185" s="1047"/>
      <c r="F2185" s="1047"/>
      <c r="G2185" s="377" t="str">
        <f>ORÇAMENTO!E299</f>
        <v xml:space="preserve">UN </v>
      </c>
      <c r="H2185" s="383">
        <f>H2186</f>
        <v>1</v>
      </c>
      <c r="I2185" s="379"/>
      <c r="J2185" s="380"/>
      <c r="K2185" s="379"/>
      <c r="L2185" s="380"/>
      <c r="M2185" s="379"/>
      <c r="N2185" s="380"/>
      <c r="O2185" s="379"/>
    </row>
    <row r="2186" spans="1:15">
      <c r="A2186" s="342"/>
      <c r="B2186" s="342"/>
      <c r="C2186" s="1002" t="str">
        <f>UPPER("VÁlvula desgarga - isometrico c")</f>
        <v>VÁLVULA DESGARGA - ISOMETRICO C</v>
      </c>
      <c r="D2186" s="1002"/>
      <c r="E2186" s="1002"/>
      <c r="F2186" s="1002"/>
      <c r="G2186" s="389" t="s">
        <v>55</v>
      </c>
      <c r="H2186" s="584">
        <v>1</v>
      </c>
      <c r="I2186" s="582"/>
      <c r="J2186" s="582"/>
      <c r="K2186" s="583"/>
      <c r="L2186" s="583"/>
      <c r="M2186" s="583"/>
      <c r="N2186" s="589"/>
      <c r="O2186" s="589"/>
    </row>
    <row r="2187" spans="1:15">
      <c r="A2187" s="377">
        <f>ORÇAMENTO!A300</f>
        <v>1482</v>
      </c>
      <c r="B2187" s="377" t="str">
        <f>ORÇAMENTO!C300</f>
        <v>13.03.02</v>
      </c>
      <c r="C2187" s="1047" t="str">
        <f>ORÇAMENTO!D300</f>
        <v>VÁLVULA PÉ C/ CRIVO D= 25MM (1")</v>
      </c>
      <c r="D2187" s="1047"/>
      <c r="E2187" s="1047"/>
      <c r="F2187" s="1047"/>
      <c r="G2187" s="377" t="str">
        <f>ORÇAMENTO!E300</f>
        <v xml:space="preserve">UN </v>
      </c>
      <c r="H2187" s="383">
        <f>H2188</f>
        <v>4</v>
      </c>
      <c r="I2187" s="379"/>
      <c r="J2187" s="380"/>
      <c r="K2187" s="379"/>
      <c r="L2187" s="380"/>
      <c r="M2187" s="379"/>
      <c r="N2187" s="380"/>
      <c r="O2187" s="379"/>
    </row>
    <row r="2188" spans="1:15">
      <c r="A2188" s="342"/>
      <c r="B2188" s="342"/>
      <c r="C2188" s="1002" t="str">
        <f>UPPER("Válvula para bomba - reservatório inferior")</f>
        <v>VÁLVULA PARA BOMBA - RESERVATÓRIO INFERIOR</v>
      </c>
      <c r="D2188" s="1002"/>
      <c r="E2188" s="1002"/>
      <c r="F2188" s="1002"/>
      <c r="G2188" s="389" t="s">
        <v>55</v>
      </c>
      <c r="H2188" s="584">
        <v>4</v>
      </c>
      <c r="I2188" s="582"/>
      <c r="J2188" s="582"/>
      <c r="K2188" s="583"/>
      <c r="L2188" s="583"/>
      <c r="M2188" s="583"/>
      <c r="N2188" s="589"/>
      <c r="O2188" s="589"/>
    </row>
    <row r="2189" spans="1:15" ht="24.75" customHeight="1">
      <c r="A2189" s="377">
        <f>ORÇAMENTO!A301</f>
        <v>99629</v>
      </c>
      <c r="B2189" s="377" t="str">
        <f>ORÇAMENTO!C301</f>
        <v>13.03.03</v>
      </c>
      <c r="C2189" s="1047" t="str">
        <f>ORÇAMENTO!D301</f>
        <v>VÁLVULA DE RETENÇÃO VERTICAL, DE BRONZE, ROSCÁVEL, 1" - FORNECIMENTO E INSTALAÇÃO. AF_01/2019</v>
      </c>
      <c r="D2189" s="1047"/>
      <c r="E2189" s="1047"/>
      <c r="F2189" s="1047"/>
      <c r="G2189" s="377" t="str">
        <f>ORÇAMENTO!E301</f>
        <v xml:space="preserve">UN </v>
      </c>
      <c r="H2189" s="383">
        <f>SUM(H2190:H2190)</f>
        <v>4</v>
      </c>
      <c r="I2189" s="379"/>
      <c r="J2189" s="380"/>
      <c r="K2189" s="379"/>
      <c r="L2189" s="380"/>
      <c r="M2189" s="379"/>
      <c r="N2189" s="380"/>
      <c r="O2189" s="379"/>
    </row>
    <row r="2190" spans="1:15" ht="24.75" customHeight="1">
      <c r="A2190" s="342"/>
      <c r="B2190" s="342"/>
      <c r="C2190" s="1002" t="str">
        <f>UPPER("Válvula para bomba de 0,5cv - reservatório inferior")</f>
        <v>VÁLVULA PARA BOMBA DE 0,5CV - RESERVATÓRIO INFERIOR</v>
      </c>
      <c r="D2190" s="1002"/>
      <c r="E2190" s="1002"/>
      <c r="F2190" s="1002"/>
      <c r="G2190" s="389" t="s">
        <v>55</v>
      </c>
      <c r="H2190" s="584">
        <v>4</v>
      </c>
      <c r="I2190" s="582"/>
      <c r="J2190" s="582"/>
      <c r="K2190" s="583"/>
      <c r="L2190" s="583"/>
      <c r="M2190" s="583"/>
      <c r="N2190" s="589"/>
      <c r="O2190" s="589"/>
    </row>
    <row r="2191" spans="1:15" ht="48" customHeight="1">
      <c r="A2191" s="378">
        <f>ORÇAMENTO!A302</f>
        <v>7350</v>
      </c>
      <c r="B2191" s="378" t="str">
        <f>ORÇAMENTO!C302</f>
        <v>13.03.04</v>
      </c>
      <c r="C2191" s="1003" t="str">
        <f>ORÇAMENTO!D302</f>
        <v xml:space="preserve">LAVATÓRIO LOUÇA DE CANTO (DECA-IZY, REF L-10117 OU SIMILAR) SEM COLUNA, C/ SIFÃO CROMADO, VÁLVULA CROMADA, ENGATE CROMADO, EXCLUSIVE TORNEIRA </v>
      </c>
      <c r="D2191" s="1003"/>
      <c r="E2191" s="1003"/>
      <c r="F2191" s="1003"/>
      <c r="G2191" s="378" t="str">
        <f>ORÇAMENTO!E302</f>
        <v xml:space="preserve">UN </v>
      </c>
      <c r="H2191" s="691">
        <f>SUM(H2192:H2193)</f>
        <v>2</v>
      </c>
      <c r="I2191" s="674"/>
      <c r="J2191" s="455"/>
      <c r="K2191" s="674"/>
      <c r="L2191" s="455"/>
      <c r="M2191" s="674"/>
      <c r="N2191" s="455"/>
      <c r="O2191" s="674"/>
    </row>
    <row r="2192" spans="1:15" s="122" customFormat="1" ht="15" customHeight="1">
      <c r="A2192" s="337"/>
      <c r="B2192" s="337"/>
      <c r="C2192" s="1002" t="s">
        <v>1835</v>
      </c>
      <c r="D2192" s="1002"/>
      <c r="E2192" s="1002"/>
      <c r="F2192" s="1002"/>
      <c r="G2192" s="389" t="s">
        <v>55</v>
      </c>
      <c r="H2192" s="584">
        <v>1</v>
      </c>
      <c r="I2192" s="582"/>
      <c r="J2192" s="582"/>
      <c r="K2192" s="583"/>
      <c r="L2192" s="583"/>
      <c r="M2192" s="583"/>
      <c r="N2192" s="589"/>
      <c r="O2192" s="589"/>
    </row>
    <row r="2193" spans="1:15" s="122" customFormat="1" ht="15" customHeight="1">
      <c r="A2193" s="337"/>
      <c r="B2193" s="337"/>
      <c r="C2193" s="1002" t="s">
        <v>1834</v>
      </c>
      <c r="D2193" s="1002"/>
      <c r="E2193" s="1002"/>
      <c r="F2193" s="1002"/>
      <c r="G2193" s="389" t="s">
        <v>55</v>
      </c>
      <c r="H2193" s="584">
        <v>1</v>
      </c>
      <c r="I2193" s="582"/>
      <c r="J2193" s="582"/>
      <c r="K2193" s="583"/>
      <c r="L2193" s="583"/>
      <c r="M2193" s="583"/>
      <c r="N2193" s="589"/>
      <c r="O2193" s="589"/>
    </row>
    <row r="2194" spans="1:15" ht="27" customHeight="1">
      <c r="A2194" s="377">
        <f>ORÇAMENTO!A303</f>
        <v>3669</v>
      </c>
      <c r="B2194" s="377" t="str">
        <f>ORÇAMENTO!C303</f>
        <v>13.03.05</v>
      </c>
      <c r="C2194" s="1003" t="str">
        <f>ORÇAMENTO!D303</f>
        <v>CUBA DE EMBUTIR, CIRCULAR, CELITE 10129 OU SIMILAR, INCLUSIVE SIFÃO CROMADO, VÁLVULA CROMADA PARA PIA E ENGATE CROMADO</v>
      </c>
      <c r="D2194" s="1003"/>
      <c r="E2194" s="1003"/>
      <c r="F2194" s="1003"/>
      <c r="G2194" s="377" t="str">
        <f>ORÇAMENTO!E303</f>
        <v xml:space="preserve">UN </v>
      </c>
      <c r="H2194" s="383">
        <f>SUM(H2195:H2199)</f>
        <v>12</v>
      </c>
      <c r="I2194" s="379"/>
      <c r="J2194" s="380"/>
      <c r="K2194" s="379"/>
      <c r="L2194" s="380"/>
      <c r="M2194" s="379"/>
      <c r="N2194" s="380"/>
      <c r="O2194" s="379"/>
    </row>
    <row r="2195" spans="1:15" s="122" customFormat="1" ht="14.25" customHeight="1">
      <c r="A2195" s="337"/>
      <c r="B2195" s="337"/>
      <c r="C2195" s="1002" t="s">
        <v>1979</v>
      </c>
      <c r="D2195" s="1002"/>
      <c r="E2195" s="1002"/>
      <c r="F2195" s="1002"/>
      <c r="G2195" s="389" t="s">
        <v>55</v>
      </c>
      <c r="H2195" s="584">
        <v>2</v>
      </c>
      <c r="I2195" s="582"/>
      <c r="J2195" s="582"/>
      <c r="K2195" s="583"/>
      <c r="L2195" s="583"/>
      <c r="M2195" s="583"/>
      <c r="N2195" s="589"/>
      <c r="O2195" s="589"/>
    </row>
    <row r="2196" spans="1:15" s="122" customFormat="1">
      <c r="A2196" s="337"/>
      <c r="B2196" s="337"/>
      <c r="C2196" s="1002" t="s">
        <v>2077</v>
      </c>
      <c r="D2196" s="1002"/>
      <c r="E2196" s="1002"/>
      <c r="F2196" s="1002"/>
      <c r="G2196" s="389" t="s">
        <v>55</v>
      </c>
      <c r="H2196" s="584">
        <v>4</v>
      </c>
      <c r="I2196" s="582"/>
      <c r="J2196" s="582"/>
      <c r="K2196" s="583"/>
      <c r="L2196" s="583"/>
      <c r="M2196" s="583"/>
      <c r="N2196" s="589"/>
      <c r="O2196" s="589"/>
    </row>
    <row r="2197" spans="1:15" s="122" customFormat="1">
      <c r="A2197" s="337"/>
      <c r="B2197" s="337"/>
      <c r="C2197" s="1002" t="s">
        <v>2078</v>
      </c>
      <c r="D2197" s="1002"/>
      <c r="E2197" s="1002"/>
      <c r="F2197" s="1002"/>
      <c r="G2197" s="389" t="s">
        <v>55</v>
      </c>
      <c r="H2197" s="584">
        <v>2</v>
      </c>
      <c r="I2197" s="582"/>
      <c r="J2197" s="582"/>
      <c r="K2197" s="583"/>
      <c r="L2197" s="583"/>
      <c r="M2197" s="583"/>
      <c r="N2197" s="589"/>
      <c r="O2197" s="589"/>
    </row>
    <row r="2198" spans="1:15" s="122" customFormat="1">
      <c r="A2198" s="337"/>
      <c r="B2198" s="337"/>
      <c r="C2198" s="1002" t="s">
        <v>2079</v>
      </c>
      <c r="D2198" s="1002"/>
      <c r="E2198" s="1002"/>
      <c r="F2198" s="1002"/>
      <c r="G2198" s="389" t="s">
        <v>55</v>
      </c>
      <c r="H2198" s="584">
        <v>2</v>
      </c>
      <c r="I2198" s="582"/>
      <c r="J2198" s="582"/>
      <c r="K2198" s="583"/>
      <c r="L2198" s="583"/>
      <c r="M2198" s="583"/>
      <c r="N2198" s="589"/>
      <c r="O2198" s="589"/>
    </row>
    <row r="2199" spans="1:15" s="122" customFormat="1">
      <c r="A2199" s="337"/>
      <c r="B2199" s="337"/>
      <c r="C2199" s="1002" t="s">
        <v>2080</v>
      </c>
      <c r="D2199" s="1002"/>
      <c r="E2199" s="1002"/>
      <c r="F2199" s="1002"/>
      <c r="G2199" s="389" t="s">
        <v>55</v>
      </c>
      <c r="H2199" s="584">
        <v>2</v>
      </c>
      <c r="I2199" s="582"/>
      <c r="J2199" s="582"/>
      <c r="K2199" s="583"/>
      <c r="L2199" s="583"/>
      <c r="M2199" s="583"/>
      <c r="N2199" s="589"/>
      <c r="O2199" s="589"/>
    </row>
    <row r="2200" spans="1:15" ht="66.75" customHeight="1">
      <c r="A2200" s="377" t="str">
        <f>ORÇAMENTO!A304</f>
        <v>COMP - 00/11</v>
      </c>
      <c r="B2200" s="377" t="str">
        <f>ORÇAMENTO!C304</f>
        <v>13.03.06</v>
      </c>
      <c r="C2200" s="1047" t="str">
        <f>ORÇAMENTO!D304</f>
        <v>CUBA EM AÇO INOX AISI 304 RETANGULAR DE EMBUTIR, DIMENSÃO 34X40X17CM, P/ INSTALAÇÃO EM BANCADAS C/ VÁLVULA CROMADA DE DIÂM. 3 1/2” DA MARCA DE REF. TRAMONTINA, OU SIMILAR.</v>
      </c>
      <c r="D2200" s="1047"/>
      <c r="E2200" s="1047"/>
      <c r="F2200" s="1047"/>
      <c r="G2200" s="377" t="str">
        <f>ORÇAMENTO!E304</f>
        <v xml:space="preserve">UN </v>
      </c>
      <c r="H2200" s="383">
        <f>SUM(H2201:H2201)</f>
        <v>1</v>
      </c>
      <c r="I2200" s="379"/>
      <c r="J2200" s="380"/>
      <c r="K2200" s="379"/>
      <c r="L2200" s="380"/>
      <c r="M2200" s="379"/>
      <c r="N2200" s="380"/>
      <c r="O2200" s="379"/>
    </row>
    <row r="2201" spans="1:15" s="122" customFormat="1">
      <c r="A2201" s="337"/>
      <c r="B2201" s="337"/>
      <c r="C2201" s="1002" t="s">
        <v>1815</v>
      </c>
      <c r="D2201" s="1002"/>
      <c r="E2201" s="1002"/>
      <c r="F2201" s="1002"/>
      <c r="G2201" s="389" t="s">
        <v>55</v>
      </c>
      <c r="H2201" s="584">
        <v>1</v>
      </c>
      <c r="I2201" s="582"/>
      <c r="J2201" s="582"/>
      <c r="K2201" s="583"/>
      <c r="L2201" s="583"/>
      <c r="M2201" s="583"/>
      <c r="N2201" s="589"/>
      <c r="O2201" s="589"/>
    </row>
    <row r="2202" spans="1:15" ht="55.5" customHeight="1">
      <c r="A2202" s="377">
        <f>ORÇAMENTO!A305</f>
        <v>86931</v>
      </c>
      <c r="B2202" s="377" t="str">
        <f>ORÇAMENTO!C305</f>
        <v>13.03.07</v>
      </c>
      <c r="C2202" s="1003" t="str">
        <f>ORÇAMENTO!D305</f>
        <v>VASO SANITÁRIO SIFONADO COM CAIXA ACOPLADA LOUÇA BRANCA - PADRÃO MÉDIO, INCLUSO ENGATE FLEXÍVEL EM PLÁSTICO BRANCO, 1/2 X 40CM - FORNECIMENTO E INSTALAÇÃO. AF_12/2013</v>
      </c>
      <c r="D2202" s="1003"/>
      <c r="E2202" s="1003"/>
      <c r="F2202" s="1003"/>
      <c r="G2202" s="377" t="str">
        <f>ORÇAMENTO!E305</f>
        <v xml:space="preserve">UN </v>
      </c>
      <c r="H2202" s="383">
        <f>SUM(H2203:H2207)</f>
        <v>12</v>
      </c>
      <c r="I2202" s="379"/>
      <c r="J2202" s="380"/>
      <c r="K2202" s="379"/>
      <c r="L2202" s="380"/>
      <c r="M2202" s="379"/>
      <c r="N2202" s="380"/>
      <c r="O2202" s="379"/>
    </row>
    <row r="2203" spans="1:15" s="122" customFormat="1">
      <c r="A2203" s="337"/>
      <c r="B2203" s="337"/>
      <c r="C2203" s="1002" t="s">
        <v>1979</v>
      </c>
      <c r="D2203" s="1002"/>
      <c r="E2203" s="1002"/>
      <c r="F2203" s="1002"/>
      <c r="G2203" s="389" t="s">
        <v>55</v>
      </c>
      <c r="H2203" s="584">
        <v>2</v>
      </c>
      <c r="I2203" s="582"/>
      <c r="J2203" s="582"/>
      <c r="K2203" s="583"/>
      <c r="L2203" s="583"/>
      <c r="M2203" s="583"/>
      <c r="N2203" s="589"/>
      <c r="O2203" s="589"/>
    </row>
    <row r="2204" spans="1:15" s="122" customFormat="1">
      <c r="A2204" s="337"/>
      <c r="B2204" s="337"/>
      <c r="C2204" s="1002" t="s">
        <v>2077</v>
      </c>
      <c r="D2204" s="1002"/>
      <c r="E2204" s="1002"/>
      <c r="F2204" s="1002"/>
      <c r="G2204" s="389" t="s">
        <v>55</v>
      </c>
      <c r="H2204" s="584">
        <v>4</v>
      </c>
      <c r="I2204" s="582"/>
      <c r="J2204" s="582"/>
      <c r="K2204" s="583"/>
      <c r="L2204" s="583"/>
      <c r="M2204" s="583"/>
      <c r="N2204" s="589"/>
      <c r="O2204" s="589"/>
    </row>
    <row r="2205" spans="1:15" s="122" customFormat="1">
      <c r="A2205" s="337"/>
      <c r="B2205" s="337"/>
      <c r="C2205" s="1002" t="s">
        <v>2078</v>
      </c>
      <c r="D2205" s="1002"/>
      <c r="E2205" s="1002"/>
      <c r="F2205" s="1002"/>
      <c r="G2205" s="389" t="s">
        <v>55</v>
      </c>
      <c r="H2205" s="584">
        <v>2</v>
      </c>
      <c r="I2205" s="582"/>
      <c r="J2205" s="582"/>
      <c r="K2205" s="583"/>
      <c r="L2205" s="583"/>
      <c r="M2205" s="583"/>
      <c r="N2205" s="589"/>
      <c r="O2205" s="589"/>
    </row>
    <row r="2206" spans="1:15" s="122" customFormat="1">
      <c r="A2206" s="337"/>
      <c r="B2206" s="337"/>
      <c r="C2206" s="1002" t="s">
        <v>2081</v>
      </c>
      <c r="D2206" s="1002"/>
      <c r="E2206" s="1002"/>
      <c r="F2206" s="1002"/>
      <c r="G2206" s="389" t="s">
        <v>55</v>
      </c>
      <c r="H2206" s="584">
        <v>2</v>
      </c>
      <c r="I2206" s="582"/>
      <c r="J2206" s="582"/>
      <c r="K2206" s="583"/>
      <c r="L2206" s="583"/>
      <c r="M2206" s="583"/>
      <c r="N2206" s="589"/>
      <c r="O2206" s="589"/>
    </row>
    <row r="2207" spans="1:15" s="122" customFormat="1">
      <c r="A2207" s="337"/>
      <c r="B2207" s="337"/>
      <c r="C2207" s="1002" t="s">
        <v>2080</v>
      </c>
      <c r="D2207" s="1002"/>
      <c r="E2207" s="1002"/>
      <c r="F2207" s="1002"/>
      <c r="G2207" s="389" t="s">
        <v>55</v>
      </c>
      <c r="H2207" s="584">
        <v>2</v>
      </c>
      <c r="I2207" s="582"/>
      <c r="J2207" s="582"/>
      <c r="K2207" s="583"/>
      <c r="L2207" s="583"/>
      <c r="M2207" s="583"/>
      <c r="N2207" s="589"/>
      <c r="O2207" s="589"/>
    </row>
    <row r="2208" spans="1:15" ht="33" customHeight="1">
      <c r="A2208" s="377">
        <f>ORÇAMENTO!A306</f>
        <v>2066</v>
      </c>
      <c r="B2208" s="377" t="str">
        <f>ORÇAMENTO!C306</f>
        <v>13.03.08</v>
      </c>
      <c r="C2208" s="1047" t="str">
        <f>ORÇAMENTO!D306</f>
        <v>ASSENTO PLÁSTICO, UNIVERSAL, BRANCO, PARA VASO SANITÁRIO, TIPO CONVENCIONAL, INCEPA OU SIMILAR</v>
      </c>
      <c r="D2208" s="1047"/>
      <c r="E2208" s="1047"/>
      <c r="F2208" s="1047"/>
      <c r="G2208" s="377" t="str">
        <f>ORÇAMENTO!E306</f>
        <v xml:space="preserve">UN </v>
      </c>
      <c r="H2208" s="383">
        <f>SUM(H2209:H2215)</f>
        <v>14</v>
      </c>
      <c r="I2208" s="379"/>
      <c r="J2208" s="380"/>
      <c r="K2208" s="379"/>
      <c r="L2208" s="380"/>
      <c r="M2208" s="379"/>
      <c r="N2208" s="380"/>
      <c r="O2208" s="379"/>
    </row>
    <row r="2209" spans="1:15" s="122" customFormat="1">
      <c r="A2209" s="337"/>
      <c r="B2209" s="337"/>
      <c r="C2209" s="1002" t="s">
        <v>1979</v>
      </c>
      <c r="D2209" s="1002"/>
      <c r="E2209" s="1002"/>
      <c r="F2209" s="1002"/>
      <c r="G2209" s="389" t="s">
        <v>55</v>
      </c>
      <c r="H2209" s="584">
        <v>2</v>
      </c>
      <c r="I2209" s="582"/>
      <c r="J2209" s="582"/>
      <c r="K2209" s="583"/>
      <c r="L2209" s="583"/>
      <c r="M2209" s="583"/>
      <c r="N2209" s="589"/>
      <c r="O2209" s="589"/>
    </row>
    <row r="2210" spans="1:15" s="122" customFormat="1">
      <c r="A2210" s="337"/>
      <c r="B2210" s="337"/>
      <c r="C2210" s="1002" t="s">
        <v>2077</v>
      </c>
      <c r="D2210" s="1002"/>
      <c r="E2210" s="1002"/>
      <c r="F2210" s="1002"/>
      <c r="G2210" s="389" t="s">
        <v>55</v>
      </c>
      <c r="H2210" s="584">
        <v>4</v>
      </c>
      <c r="I2210" s="582"/>
      <c r="J2210" s="582"/>
      <c r="K2210" s="583"/>
      <c r="L2210" s="583"/>
      <c r="M2210" s="583"/>
      <c r="N2210" s="589"/>
      <c r="O2210" s="589"/>
    </row>
    <row r="2211" spans="1:15" s="122" customFormat="1">
      <c r="A2211" s="337"/>
      <c r="B2211" s="337"/>
      <c r="C2211" s="1002" t="s">
        <v>2078</v>
      </c>
      <c r="D2211" s="1002"/>
      <c r="E2211" s="1002"/>
      <c r="F2211" s="1002"/>
      <c r="G2211" s="389" t="s">
        <v>55</v>
      </c>
      <c r="H2211" s="584">
        <v>2</v>
      </c>
      <c r="I2211" s="582"/>
      <c r="J2211" s="582"/>
      <c r="K2211" s="583"/>
      <c r="L2211" s="583"/>
      <c r="M2211" s="583"/>
      <c r="N2211" s="589"/>
      <c r="O2211" s="589"/>
    </row>
    <row r="2212" spans="1:15" s="122" customFormat="1">
      <c r="A2212" s="337"/>
      <c r="B2212" s="337"/>
      <c r="C2212" s="1002" t="s">
        <v>2081</v>
      </c>
      <c r="D2212" s="1002"/>
      <c r="E2212" s="1002"/>
      <c r="F2212" s="1002"/>
      <c r="G2212" s="389" t="s">
        <v>55</v>
      </c>
      <c r="H2212" s="584">
        <v>2</v>
      </c>
      <c r="I2212" s="582"/>
      <c r="J2212" s="582"/>
      <c r="K2212" s="583"/>
      <c r="L2212" s="583"/>
      <c r="M2212" s="583"/>
      <c r="N2212" s="589"/>
      <c r="O2212" s="589"/>
    </row>
    <row r="2213" spans="1:15" s="122" customFormat="1">
      <c r="A2213" s="337"/>
      <c r="B2213" s="337"/>
      <c r="C2213" s="1002" t="s">
        <v>2080</v>
      </c>
      <c r="D2213" s="1002"/>
      <c r="E2213" s="1002"/>
      <c r="F2213" s="1002"/>
      <c r="G2213" s="389" t="s">
        <v>55</v>
      </c>
      <c r="H2213" s="584">
        <v>2</v>
      </c>
      <c r="I2213" s="582"/>
      <c r="J2213" s="582"/>
      <c r="K2213" s="583"/>
      <c r="L2213" s="583"/>
      <c r="M2213" s="583"/>
      <c r="N2213" s="589"/>
      <c r="O2213" s="589"/>
    </row>
    <row r="2214" spans="1:15" s="122" customFormat="1">
      <c r="A2214" s="337"/>
      <c r="B2214" s="337"/>
      <c r="C2214" s="1002" t="s">
        <v>1835</v>
      </c>
      <c r="D2214" s="1002"/>
      <c r="E2214" s="1002"/>
      <c r="F2214" s="1002"/>
      <c r="G2214" s="389" t="s">
        <v>55</v>
      </c>
      <c r="H2214" s="584">
        <v>1</v>
      </c>
      <c r="I2214" s="582"/>
      <c r="J2214" s="582"/>
      <c r="K2214" s="583"/>
      <c r="L2214" s="583"/>
      <c r="M2214" s="583"/>
      <c r="N2214" s="589"/>
      <c r="O2214" s="589"/>
    </row>
    <row r="2215" spans="1:15" s="122" customFormat="1">
      <c r="A2215" s="337"/>
      <c r="B2215" s="337"/>
      <c r="C2215" s="1002" t="s">
        <v>1834</v>
      </c>
      <c r="D2215" s="1002"/>
      <c r="E2215" s="1002"/>
      <c r="F2215" s="1002"/>
      <c r="G2215" s="389" t="s">
        <v>55</v>
      </c>
      <c r="H2215" s="584">
        <v>1</v>
      </c>
      <c r="I2215" s="582"/>
      <c r="J2215" s="582"/>
      <c r="K2215" s="583"/>
      <c r="L2215" s="583"/>
      <c r="M2215" s="583"/>
      <c r="N2215" s="589"/>
      <c r="O2215" s="589"/>
    </row>
    <row r="2216" spans="1:15" ht="50.25" customHeight="1">
      <c r="A2216" s="377">
        <f>ORÇAMENTO!A307</f>
        <v>12101</v>
      </c>
      <c r="B2216" s="377" t="str">
        <f>ORÇAMENTO!C307</f>
        <v>13.03.09</v>
      </c>
      <c r="C2216" s="1003" t="str">
        <f>ORÇAMENTO!D307</f>
        <v>VASO SANITÁRIO, LINHA VOGUE PLUS CONFORTO P.510.17, SEM ABERTURA FRONTAL, DECA OU SIMILAR, EXCLUSIVE CAIXA ÓU VÁLVULA DE DESCARGA</v>
      </c>
      <c r="D2216" s="1003"/>
      <c r="E2216" s="1003"/>
      <c r="F2216" s="1003"/>
      <c r="G2216" s="377" t="str">
        <f>ORÇAMENTO!E307</f>
        <v xml:space="preserve">UN </v>
      </c>
      <c r="H2216" s="383">
        <f>SUM(H2217:H2218)</f>
        <v>2</v>
      </c>
      <c r="I2216" s="379"/>
      <c r="J2216" s="380"/>
      <c r="K2216" s="379"/>
      <c r="L2216" s="380"/>
      <c r="M2216" s="379"/>
      <c r="N2216" s="380"/>
      <c r="O2216" s="379"/>
    </row>
    <row r="2217" spans="1:15" s="122" customFormat="1" ht="15" customHeight="1">
      <c r="A2217" s="337"/>
      <c r="B2217" s="337"/>
      <c r="C2217" s="1002" t="s">
        <v>1835</v>
      </c>
      <c r="D2217" s="1002"/>
      <c r="E2217" s="1002"/>
      <c r="F2217" s="1002"/>
      <c r="G2217" s="389" t="s">
        <v>55</v>
      </c>
      <c r="H2217" s="584">
        <v>1</v>
      </c>
      <c r="I2217" s="582"/>
      <c r="J2217" s="582"/>
      <c r="K2217" s="583"/>
      <c r="L2217" s="583"/>
      <c r="M2217" s="583"/>
      <c r="N2217" s="589"/>
      <c r="O2217" s="589"/>
    </row>
    <row r="2218" spans="1:15" s="122" customFormat="1" ht="15" customHeight="1">
      <c r="A2218" s="337"/>
      <c r="B2218" s="337"/>
      <c r="C2218" s="1002" t="s">
        <v>1834</v>
      </c>
      <c r="D2218" s="1002"/>
      <c r="E2218" s="1002"/>
      <c r="F2218" s="1002"/>
      <c r="G2218" s="389" t="s">
        <v>55</v>
      </c>
      <c r="H2218" s="584">
        <v>1</v>
      </c>
      <c r="I2218" s="582"/>
      <c r="J2218" s="582"/>
      <c r="K2218" s="583"/>
      <c r="L2218" s="583"/>
      <c r="M2218" s="583"/>
      <c r="N2218" s="589"/>
      <c r="O2218" s="589"/>
    </row>
    <row r="2219" spans="1:15" ht="41.25" customHeight="1">
      <c r="A2219" s="377">
        <f>ORÇAMENTO!A310</f>
        <v>2055</v>
      </c>
      <c r="B2219" s="377" t="str">
        <f>ORÇAMENTO!C308</f>
        <v>13.03.10</v>
      </c>
      <c r="C2219" s="1003" t="str">
        <f>ORÇAMENTO!D308</f>
        <v>VÁLVULA DE DESCARGA CROMADA COM CANOPLA COM ACABAMENTO BENEFIT DOCOL REF. 00184906 (HASTE DE ACIONAMENTO) OU SIMILAR (WC PNE)</v>
      </c>
      <c r="D2219" s="1003"/>
      <c r="E2219" s="1003"/>
      <c r="F2219" s="1003"/>
      <c r="G2219" s="377" t="str">
        <f>ORÇAMENTO!E310</f>
        <v xml:space="preserve">UN </v>
      </c>
      <c r="H2219" s="383">
        <f>SUM(H2220:H2221)</f>
        <v>2</v>
      </c>
      <c r="I2219" s="379"/>
      <c r="J2219" s="380"/>
      <c r="K2219" s="379"/>
      <c r="L2219" s="380"/>
      <c r="M2219" s="379"/>
      <c r="N2219" s="380"/>
      <c r="O2219" s="379"/>
    </row>
    <row r="2220" spans="1:15" s="122" customFormat="1" ht="15" customHeight="1">
      <c r="A2220" s="337"/>
      <c r="B2220" s="337"/>
      <c r="C2220" s="1002" t="s">
        <v>1835</v>
      </c>
      <c r="D2220" s="1002"/>
      <c r="E2220" s="1002"/>
      <c r="F2220" s="1002"/>
      <c r="G2220" s="389" t="s">
        <v>55</v>
      </c>
      <c r="H2220" s="584">
        <v>1</v>
      </c>
      <c r="I2220" s="582"/>
      <c r="J2220" s="582"/>
      <c r="K2220" s="583"/>
      <c r="L2220" s="583"/>
      <c r="M2220" s="583"/>
      <c r="N2220" s="589"/>
      <c r="O2220" s="589"/>
    </row>
    <row r="2221" spans="1:15" s="122" customFormat="1" ht="15" customHeight="1">
      <c r="A2221" s="337"/>
      <c r="B2221" s="337"/>
      <c r="C2221" s="1002" t="s">
        <v>1834</v>
      </c>
      <c r="D2221" s="1002"/>
      <c r="E2221" s="1002"/>
      <c r="F2221" s="1002"/>
      <c r="G2221" s="389" t="s">
        <v>55</v>
      </c>
      <c r="H2221" s="584">
        <v>1</v>
      </c>
      <c r="I2221" s="582"/>
      <c r="J2221" s="582"/>
      <c r="K2221" s="583"/>
      <c r="L2221" s="583"/>
      <c r="M2221" s="583"/>
      <c r="N2221" s="589"/>
      <c r="O2221" s="589"/>
    </row>
    <row r="2222" spans="1:15" s="122" customFormat="1" ht="26.25" customHeight="1">
      <c r="A2222" s="377">
        <f>ORÇAMENTO!A309</f>
        <v>2003</v>
      </c>
      <c r="B2222" s="377" t="str">
        <f>ORÇAMENTO!C309</f>
        <v>13.03.11</v>
      </c>
      <c r="C2222" s="1003" t="str">
        <f>ORÇAMENTO!D309</f>
        <v>BACIA TURCA (CELITE REF 003006), CAIXA DE DESCARGA DE EMBUTIR (MONTANA) OU SIMILARES</v>
      </c>
      <c r="D2222" s="1003"/>
      <c r="E2222" s="1003"/>
      <c r="F2222" s="1003"/>
      <c r="G2222" s="377" t="str">
        <f>ORÇAMENTO!E309</f>
        <v xml:space="preserve">UN </v>
      </c>
      <c r="H2222" s="383">
        <f>SUM(H2223)</f>
        <v>1</v>
      </c>
      <c r="I2222" s="379"/>
      <c r="J2222" s="380"/>
      <c r="K2222" s="379"/>
      <c r="L2222" s="380"/>
      <c r="M2222" s="379"/>
      <c r="N2222" s="380"/>
      <c r="O2222" s="379"/>
    </row>
    <row r="2223" spans="1:15" s="122" customFormat="1" ht="15" customHeight="1">
      <c r="A2223" s="337"/>
      <c r="B2223" s="337"/>
      <c r="C2223" s="1002" t="s">
        <v>1826</v>
      </c>
      <c r="D2223" s="1002"/>
      <c r="E2223" s="1002"/>
      <c r="F2223" s="1002"/>
      <c r="G2223" s="389" t="s">
        <v>55</v>
      </c>
      <c r="H2223" s="584">
        <v>1</v>
      </c>
      <c r="I2223" s="582"/>
      <c r="J2223" s="582"/>
      <c r="K2223" s="583"/>
      <c r="L2223" s="583"/>
      <c r="M2223" s="583"/>
      <c r="N2223" s="589"/>
      <c r="O2223" s="589"/>
    </row>
    <row r="2224" spans="1:15">
      <c r="A2224" s="377">
        <f>ORÇAMENTO!A310</f>
        <v>2055</v>
      </c>
      <c r="B2224" s="377" t="str">
        <f>ORÇAMENTO!C310</f>
        <v>13.03.12</v>
      </c>
      <c r="C2224" s="1003" t="str">
        <f>ORÇAMENTO!D310</f>
        <v xml:space="preserve">TANQUE EM AÇO INOX, INCLUSO TORNEIRA CROMADA E SIFÃO PVC </v>
      </c>
      <c r="D2224" s="1003"/>
      <c r="E2224" s="1003"/>
      <c r="F2224" s="1003"/>
      <c r="G2224" s="377" t="str">
        <f>ORÇAMENTO!E310</f>
        <v xml:space="preserve">UN </v>
      </c>
      <c r="H2224" s="383">
        <f>H2225</f>
        <v>1</v>
      </c>
      <c r="I2224" s="379"/>
      <c r="J2224" s="380"/>
      <c r="K2224" s="379"/>
      <c r="L2224" s="380"/>
      <c r="M2224" s="379"/>
      <c r="N2224" s="380"/>
      <c r="O2224" s="379"/>
    </row>
    <row r="2225" spans="1:15" s="122" customFormat="1" ht="17.25" customHeight="1">
      <c r="A2225" s="337"/>
      <c r="B2225" s="337"/>
      <c r="C2225" s="1002" t="s">
        <v>1814</v>
      </c>
      <c r="D2225" s="1002"/>
      <c r="E2225" s="1002"/>
      <c r="F2225" s="1002"/>
      <c r="G2225" s="389" t="s">
        <v>55</v>
      </c>
      <c r="H2225" s="584">
        <v>1</v>
      </c>
      <c r="I2225" s="582"/>
      <c r="J2225" s="582"/>
      <c r="K2225" s="583"/>
      <c r="L2225" s="583"/>
      <c r="M2225" s="583"/>
      <c r="N2225" s="589"/>
      <c r="O2225" s="589"/>
    </row>
    <row r="2226" spans="1:15" ht="28.5" customHeight="1">
      <c r="A2226" s="377" t="str">
        <f>ORÇAMENTO!A311</f>
        <v>COMP - 00/12</v>
      </c>
      <c r="B2226" s="377" t="str">
        <f>ORÇAMENTO!C311</f>
        <v>13.03.13</v>
      </c>
      <c r="C2226" s="1047" t="str">
        <f>ORÇAMENTO!D311</f>
        <v>FORNECIMENTO E INSTALAÇÃO DE TORNEIRA DE MESA COM FECHAMENTO AUTOMÁTICO, LINHA DECAMATIC ECO, REF.1173.C, DECA OU SIMILAR</v>
      </c>
      <c r="D2226" s="1047"/>
      <c r="E2226" s="1047"/>
      <c r="F2226" s="1047"/>
      <c r="G2226" s="377" t="str">
        <f>ORÇAMENTO!E311</f>
        <v>UN</v>
      </c>
      <c r="H2226" s="383">
        <f>SUM(H2227:H2232)</f>
        <v>14</v>
      </c>
      <c r="I2226" s="379"/>
      <c r="J2226" s="380"/>
      <c r="K2226" s="379"/>
      <c r="L2226" s="380"/>
      <c r="M2226" s="379"/>
      <c r="N2226" s="380"/>
      <c r="O2226" s="379"/>
    </row>
    <row r="2227" spans="1:15">
      <c r="A2227" s="342"/>
      <c r="B2227" s="342"/>
      <c r="C2227" s="1027" t="s">
        <v>1979</v>
      </c>
      <c r="D2227" s="1027"/>
      <c r="E2227" s="1027"/>
      <c r="F2227" s="1027"/>
      <c r="G2227" s="343" t="s">
        <v>55</v>
      </c>
      <c r="H2227" s="585">
        <v>2</v>
      </c>
      <c r="I2227" s="586"/>
      <c r="J2227" s="586"/>
      <c r="K2227" s="587"/>
      <c r="L2227" s="587"/>
      <c r="M2227" s="587"/>
      <c r="N2227" s="592"/>
      <c r="O2227" s="592"/>
    </row>
    <row r="2228" spans="1:15">
      <c r="A2228" s="342"/>
      <c r="B2228" s="342"/>
      <c r="C2228" s="1027" t="s">
        <v>2082</v>
      </c>
      <c r="D2228" s="1027"/>
      <c r="E2228" s="1027"/>
      <c r="F2228" s="1027"/>
      <c r="G2228" s="343" t="s">
        <v>55</v>
      </c>
      <c r="H2228" s="585">
        <v>4</v>
      </c>
      <c r="I2228" s="586"/>
      <c r="J2228" s="586"/>
      <c r="K2228" s="587"/>
      <c r="L2228" s="587"/>
      <c r="M2228" s="587"/>
      <c r="N2228" s="592"/>
      <c r="O2228" s="592"/>
    </row>
    <row r="2229" spans="1:15">
      <c r="A2229" s="342"/>
      <c r="B2229" s="342"/>
      <c r="C2229" s="1027" t="s">
        <v>2083</v>
      </c>
      <c r="D2229" s="1027"/>
      <c r="E2229" s="1027"/>
      <c r="F2229" s="1027"/>
      <c r="G2229" s="343" t="s">
        <v>55</v>
      </c>
      <c r="H2229" s="585">
        <v>2</v>
      </c>
      <c r="I2229" s="586"/>
      <c r="J2229" s="586"/>
      <c r="K2229" s="587"/>
      <c r="L2229" s="587"/>
      <c r="M2229" s="587"/>
      <c r="N2229" s="592"/>
      <c r="O2229" s="592"/>
    </row>
    <row r="2230" spans="1:15">
      <c r="A2230" s="342"/>
      <c r="B2230" s="342"/>
      <c r="C2230" s="1027" t="s">
        <v>2084</v>
      </c>
      <c r="D2230" s="1027"/>
      <c r="E2230" s="1027"/>
      <c r="F2230" s="1027"/>
      <c r="G2230" s="343" t="s">
        <v>55</v>
      </c>
      <c r="H2230" s="585">
        <v>2</v>
      </c>
      <c r="I2230" s="586"/>
      <c r="J2230" s="586"/>
      <c r="K2230" s="587"/>
      <c r="L2230" s="587"/>
      <c r="M2230" s="587"/>
      <c r="N2230" s="592"/>
      <c r="O2230" s="592"/>
    </row>
    <row r="2231" spans="1:15">
      <c r="A2231" s="342"/>
      <c r="B2231" s="342"/>
      <c r="C2231" s="1027" t="s">
        <v>2085</v>
      </c>
      <c r="D2231" s="1027"/>
      <c r="E2231" s="1027"/>
      <c r="F2231" s="1027"/>
      <c r="G2231" s="343" t="s">
        <v>55</v>
      </c>
      <c r="H2231" s="585">
        <v>2</v>
      </c>
      <c r="I2231" s="586"/>
      <c r="J2231" s="586"/>
      <c r="K2231" s="587"/>
      <c r="L2231" s="587"/>
      <c r="M2231" s="587"/>
      <c r="N2231" s="592"/>
      <c r="O2231" s="592"/>
    </row>
    <row r="2232" spans="1:15">
      <c r="A2232" s="342"/>
      <c r="B2232" s="342"/>
      <c r="C2232" s="1027" t="s">
        <v>2086</v>
      </c>
      <c r="D2232" s="1027"/>
      <c r="E2232" s="1027"/>
      <c r="F2232" s="1027"/>
      <c r="G2232" s="343" t="s">
        <v>55</v>
      </c>
      <c r="H2232" s="585">
        <v>2</v>
      </c>
      <c r="I2232" s="586"/>
      <c r="J2232" s="586"/>
      <c r="K2232" s="587"/>
      <c r="L2232" s="587"/>
      <c r="M2232" s="587"/>
      <c r="N2232" s="592"/>
      <c r="O2232" s="592"/>
    </row>
    <row r="2233" spans="1:15" ht="41.25" customHeight="1">
      <c r="A2233" s="377">
        <f>ORÇAMENTO!A312</f>
        <v>11747</v>
      </c>
      <c r="B2233" s="377" t="str">
        <f>ORÇAMENTO!C312</f>
        <v>13.03.14</v>
      </c>
      <c r="C2233" s="1003" t="str">
        <f>ORÇAMENTO!D312</f>
        <v>TORNEIRA PARA LAVATÓRIO, DE MESA, CROMADA, BICA ALTA, REF.: FLEX PLUS, 1198 C21, DA DECA OU SIMILAR, INCLUSIVE FURO PARA INSTALAÇÃO EM BANCADA</v>
      </c>
      <c r="D2233" s="1003"/>
      <c r="E2233" s="1003"/>
      <c r="F2233" s="1003"/>
      <c r="G2233" s="377" t="str">
        <f>ORÇAMENTO!E312</f>
        <v>UN</v>
      </c>
      <c r="H2233" s="383">
        <f>SUM(H2234:H2234)</f>
        <v>1</v>
      </c>
      <c r="I2233" s="379"/>
      <c r="J2233" s="380"/>
      <c r="K2233" s="379"/>
      <c r="L2233" s="380"/>
      <c r="M2233" s="379"/>
      <c r="N2233" s="380"/>
      <c r="O2233" s="379"/>
    </row>
    <row r="2234" spans="1:15">
      <c r="A2234" s="342"/>
      <c r="B2234" s="342"/>
      <c r="C2234" s="1027" t="s">
        <v>1815</v>
      </c>
      <c r="D2234" s="1027"/>
      <c r="E2234" s="1027"/>
      <c r="F2234" s="1027"/>
      <c r="G2234" s="343" t="s">
        <v>55</v>
      </c>
      <c r="H2234" s="585">
        <v>1</v>
      </c>
      <c r="I2234" s="586"/>
      <c r="J2234" s="586"/>
      <c r="K2234" s="587"/>
      <c r="L2234" s="587"/>
      <c r="M2234" s="587"/>
      <c r="N2234" s="592"/>
      <c r="O2234" s="592"/>
    </row>
    <row r="2235" spans="1:15" ht="29.25" customHeight="1">
      <c r="A2235" s="377">
        <f>ORÇAMENTO!A313</f>
        <v>3682</v>
      </c>
      <c r="B2235" s="377" t="str">
        <f>ORÇAMENTO!C313</f>
        <v>13.03.15</v>
      </c>
      <c r="C2235" s="1047" t="str">
        <f>ORÇAMENTO!D313</f>
        <v>TORNEIRA CROMADA PARA TANQUE/JARDIM, 1/2", REF.1153 C39, DECA OU SIMILAR</v>
      </c>
      <c r="D2235" s="1047"/>
      <c r="E2235" s="1047"/>
      <c r="F2235" s="1047"/>
      <c r="G2235" s="377" t="str">
        <f>ORÇAMENTO!E313</f>
        <v>UN</v>
      </c>
      <c r="H2235" s="383">
        <f>H2236</f>
        <v>8</v>
      </c>
      <c r="I2235" s="379"/>
      <c r="J2235" s="380"/>
      <c r="K2235" s="379"/>
      <c r="L2235" s="380"/>
      <c r="M2235" s="379"/>
      <c r="N2235" s="380"/>
      <c r="O2235" s="379"/>
    </row>
    <row r="2236" spans="1:15" s="122" customFormat="1" ht="15" customHeight="1">
      <c r="A2236" s="337"/>
      <c r="B2236" s="337"/>
      <c r="C2236" s="1002" t="s">
        <v>2087</v>
      </c>
      <c r="D2236" s="1002"/>
      <c r="E2236" s="1002"/>
      <c r="F2236" s="1002"/>
      <c r="G2236" s="389" t="s">
        <v>55</v>
      </c>
      <c r="H2236" s="584">
        <v>8</v>
      </c>
      <c r="I2236" s="582"/>
      <c r="J2236" s="582"/>
      <c r="K2236" s="583"/>
      <c r="L2236" s="583"/>
      <c r="M2236" s="583"/>
      <c r="N2236" s="589"/>
      <c r="O2236" s="589"/>
    </row>
    <row r="2237" spans="1:15" ht="27.75" customHeight="1">
      <c r="A2237" s="377">
        <f>ORÇAMENTO!A314</f>
        <v>9173</v>
      </c>
      <c r="B2237" s="377" t="str">
        <f>ORÇAMENTO!C314</f>
        <v>13.03.16</v>
      </c>
      <c r="C2237" s="1047" t="str">
        <f>ORÇAMENTO!D314</f>
        <v xml:space="preserve"> DUCHA MANUAL COM REGISTRO, LINHA ASPEN, REF. 1984 C35 ACT, DA DECA OU SIMILAR</v>
      </c>
      <c r="D2237" s="1047"/>
      <c r="E2237" s="1047"/>
      <c r="F2237" s="1047"/>
      <c r="G2237" s="377" t="str">
        <f>ORÇAMENTO!E314</f>
        <v>UN</v>
      </c>
      <c r="H2237" s="383">
        <f>SUM(H2238:H2240)</f>
        <v>8</v>
      </c>
      <c r="I2237" s="379"/>
      <c r="J2237" s="380"/>
      <c r="K2237" s="379"/>
      <c r="L2237" s="380"/>
      <c r="M2237" s="379"/>
      <c r="N2237" s="380"/>
      <c r="O2237" s="379"/>
    </row>
    <row r="2238" spans="1:15" s="122" customFormat="1">
      <c r="A2238" s="337"/>
      <c r="B2238" s="337"/>
      <c r="C2238" s="1027" t="s">
        <v>1979</v>
      </c>
      <c r="D2238" s="1027"/>
      <c r="E2238" s="1027"/>
      <c r="F2238" s="1027"/>
      <c r="G2238" s="389" t="s">
        <v>55</v>
      </c>
      <c r="H2238" s="584">
        <v>2</v>
      </c>
      <c r="I2238" s="582"/>
      <c r="J2238" s="582"/>
      <c r="K2238" s="583"/>
      <c r="L2238" s="583"/>
      <c r="M2238" s="583"/>
      <c r="N2238" s="589"/>
      <c r="O2238" s="589"/>
    </row>
    <row r="2239" spans="1:15" s="122" customFormat="1">
      <c r="A2239" s="337"/>
      <c r="B2239" s="337"/>
      <c r="C2239" s="1027" t="s">
        <v>2082</v>
      </c>
      <c r="D2239" s="1027"/>
      <c r="E2239" s="1027"/>
      <c r="F2239" s="1027"/>
      <c r="G2239" s="343" t="s">
        <v>55</v>
      </c>
      <c r="H2239" s="585">
        <v>4</v>
      </c>
      <c r="I2239" s="582"/>
      <c r="J2239" s="582"/>
      <c r="K2239" s="583"/>
      <c r="L2239" s="583"/>
      <c r="M2239" s="583"/>
      <c r="N2239" s="589"/>
      <c r="O2239" s="589"/>
    </row>
    <row r="2240" spans="1:15" s="122" customFormat="1">
      <c r="A2240" s="337"/>
      <c r="B2240" s="337"/>
      <c r="C2240" s="1027" t="s">
        <v>2083</v>
      </c>
      <c r="D2240" s="1027"/>
      <c r="E2240" s="1027"/>
      <c r="F2240" s="1027"/>
      <c r="G2240" s="343" t="s">
        <v>55</v>
      </c>
      <c r="H2240" s="585">
        <v>2</v>
      </c>
      <c r="I2240" s="582"/>
      <c r="J2240" s="582"/>
      <c r="K2240" s="583"/>
      <c r="L2240" s="583"/>
      <c r="M2240" s="583"/>
      <c r="N2240" s="589"/>
      <c r="O2240" s="589"/>
    </row>
    <row r="2241" spans="1:15">
      <c r="A2241" s="1081"/>
      <c r="B2241" s="1081"/>
      <c r="C2241" s="1081"/>
      <c r="D2241" s="1081"/>
      <c r="E2241" s="1081"/>
      <c r="F2241" s="1081"/>
      <c r="G2241" s="1081"/>
      <c r="H2241" s="1081"/>
      <c r="I2241" s="1081"/>
      <c r="J2241" s="1081"/>
      <c r="K2241" s="1081"/>
      <c r="L2241" s="1081"/>
      <c r="M2241" s="1081"/>
      <c r="N2241" s="1081"/>
      <c r="O2241" s="1081"/>
    </row>
    <row r="2242" spans="1:15" ht="12.75" customHeight="1">
      <c r="A2242" s="373" t="s">
        <v>11</v>
      </c>
      <c r="B2242" s="375" t="s">
        <v>13</v>
      </c>
      <c r="C2242" s="1007" t="s">
        <v>1443</v>
      </c>
      <c r="D2242" s="1007"/>
      <c r="E2242" s="1007"/>
      <c r="F2242" s="1007"/>
      <c r="G2242" s="375" t="s">
        <v>15</v>
      </c>
      <c r="H2242" s="375" t="s">
        <v>1444</v>
      </c>
      <c r="I2242" s="375" t="s">
        <v>1445</v>
      </c>
      <c r="J2242" s="375" t="s">
        <v>1446</v>
      </c>
      <c r="K2242" s="375" t="s">
        <v>1447</v>
      </c>
      <c r="L2242" s="375" t="s">
        <v>1448</v>
      </c>
      <c r="M2242" s="375" t="s">
        <v>1457</v>
      </c>
      <c r="N2242" s="375" t="s">
        <v>1450</v>
      </c>
      <c r="O2242" s="375" t="s">
        <v>1451</v>
      </c>
    </row>
    <row r="2243" spans="1:15">
      <c r="A2243" s="376"/>
      <c r="B2243" s="376" t="str">
        <f>ORÇAMENTO!C315</f>
        <v>14.00</v>
      </c>
      <c r="C2243" s="1075" t="str">
        <f>ORÇAMENTO!D315</f>
        <v>INSTALAÇÕES CONTRA INCÊNDIO E PÂNICO</v>
      </c>
      <c r="D2243" s="1075"/>
      <c r="E2243" s="1075"/>
      <c r="F2243" s="1075"/>
      <c r="G2243" s="1072"/>
      <c r="H2243" s="1072"/>
      <c r="I2243" s="1072"/>
      <c r="J2243" s="1072"/>
      <c r="K2243" s="1072"/>
      <c r="L2243" s="1072"/>
      <c r="M2243" s="1072"/>
      <c r="N2243" s="1072"/>
      <c r="O2243" s="1072"/>
    </row>
    <row r="2244" spans="1:15" ht="57.75" customHeight="1">
      <c r="A2244" s="377">
        <f>ORÇAMENTO!A316</f>
        <v>11853</v>
      </c>
      <c r="B2244" s="377" t="str">
        <f>ORÇAMENTO!C316</f>
        <v>14.01</v>
      </c>
      <c r="C2244" s="1004" t="str">
        <f>ORÇAMENTO!D316</f>
        <v>PLACA DE SINALIZACAO DE SEGURANCA CONTRA INCENDIO, FOTOLUMINESCENTE, RETANGULAR, *20 X 40* CM, EM PVC *2* MM ANTI-CHAMAS (SIMBOLOS, CORES E PICTOGRAMAS CONFORME NBR 13434)</v>
      </c>
      <c r="D2244" s="1004"/>
      <c r="E2244" s="1004"/>
      <c r="F2244" s="1004"/>
      <c r="G2244" s="425" t="str">
        <f>ORÇAMENTO!E316</f>
        <v xml:space="preserve">UN </v>
      </c>
      <c r="H2244" s="614">
        <f>SUM(H2245:H2252)</f>
        <v>28</v>
      </c>
      <c r="I2244" s="615"/>
      <c r="J2244" s="615"/>
      <c r="K2244" s="616"/>
      <c r="L2244" s="616"/>
      <c r="M2244" s="616"/>
      <c r="N2244" s="698"/>
      <c r="O2244" s="698"/>
    </row>
    <row r="2245" spans="1:15" s="122" customFormat="1">
      <c r="A2245" s="337"/>
      <c r="B2245" s="337"/>
      <c r="C2245" s="1002" t="s">
        <v>2088</v>
      </c>
      <c r="D2245" s="1002"/>
      <c r="E2245" s="1002"/>
      <c r="F2245" s="1002"/>
      <c r="G2245" s="389" t="s">
        <v>96</v>
      </c>
      <c r="H2245" s="613">
        <v>1</v>
      </c>
      <c r="I2245" s="582"/>
      <c r="J2245" s="582"/>
      <c r="K2245" s="583"/>
      <c r="L2245" s="583"/>
      <c r="M2245" s="583"/>
      <c r="N2245" s="589"/>
      <c r="O2245" s="589"/>
    </row>
    <row r="2246" spans="1:15" s="122" customFormat="1" ht="12.75" customHeight="1">
      <c r="A2246" s="337"/>
      <c r="B2246" s="337"/>
      <c r="C2246" s="1019" t="s">
        <v>2089</v>
      </c>
      <c r="D2246" s="1019"/>
      <c r="E2246" s="1019"/>
      <c r="F2246" s="1019"/>
      <c r="G2246" s="389" t="s">
        <v>96</v>
      </c>
      <c r="H2246" s="613">
        <v>2</v>
      </c>
      <c r="I2246" s="582"/>
      <c r="J2246" s="582"/>
      <c r="K2246" s="583"/>
      <c r="L2246" s="583"/>
      <c r="M2246" s="583"/>
      <c r="N2246" s="589"/>
      <c r="O2246" s="589"/>
    </row>
    <row r="2247" spans="1:15" s="122" customFormat="1" ht="12.75" customHeight="1">
      <c r="A2247" s="337"/>
      <c r="B2247" s="337"/>
      <c r="C2247" s="1019" t="s">
        <v>2090</v>
      </c>
      <c r="D2247" s="1019"/>
      <c r="E2247" s="1019"/>
      <c r="F2247" s="1019"/>
      <c r="G2247" s="389" t="s">
        <v>96</v>
      </c>
      <c r="H2247" s="613">
        <v>2</v>
      </c>
      <c r="I2247" s="582"/>
      <c r="J2247" s="582"/>
      <c r="K2247" s="583"/>
      <c r="L2247" s="583"/>
      <c r="M2247" s="583"/>
      <c r="N2247" s="589"/>
      <c r="O2247" s="589"/>
    </row>
    <row r="2248" spans="1:15" s="122" customFormat="1" ht="12.75" customHeight="1">
      <c r="A2248" s="337"/>
      <c r="B2248" s="337"/>
      <c r="C2248" s="1019" t="s">
        <v>2091</v>
      </c>
      <c r="D2248" s="1019"/>
      <c r="E2248" s="1019"/>
      <c r="F2248" s="1019"/>
      <c r="G2248" s="389" t="s">
        <v>96</v>
      </c>
      <c r="H2248" s="613">
        <v>2</v>
      </c>
      <c r="I2248" s="582"/>
      <c r="J2248" s="582"/>
      <c r="K2248" s="583"/>
      <c r="L2248" s="583"/>
      <c r="M2248" s="583"/>
      <c r="N2248" s="589"/>
      <c r="O2248" s="589"/>
    </row>
    <row r="2249" spans="1:15" s="122" customFormat="1" ht="12.75" customHeight="1">
      <c r="A2249" s="337"/>
      <c r="B2249" s="337"/>
      <c r="C2249" s="1019" t="s">
        <v>2092</v>
      </c>
      <c r="D2249" s="1019"/>
      <c r="E2249" s="1019"/>
      <c r="F2249" s="1019"/>
      <c r="G2249" s="389" t="s">
        <v>96</v>
      </c>
      <c r="H2249" s="613">
        <v>7</v>
      </c>
      <c r="I2249" s="582"/>
      <c r="J2249" s="582"/>
      <c r="K2249" s="583"/>
      <c r="L2249" s="583"/>
      <c r="M2249" s="583"/>
      <c r="N2249" s="589"/>
      <c r="O2249" s="589"/>
    </row>
    <row r="2250" spans="1:15" s="122" customFormat="1" ht="12.75" customHeight="1">
      <c r="A2250" s="337"/>
      <c r="B2250" s="337"/>
      <c r="C2250" s="1019" t="s">
        <v>2093</v>
      </c>
      <c r="D2250" s="1019"/>
      <c r="E2250" s="1019"/>
      <c r="F2250" s="1019"/>
      <c r="G2250" s="389" t="s">
        <v>96</v>
      </c>
      <c r="H2250" s="613">
        <v>5</v>
      </c>
      <c r="I2250" s="582"/>
      <c r="J2250" s="582"/>
      <c r="K2250" s="583"/>
      <c r="L2250" s="583"/>
      <c r="M2250" s="583"/>
      <c r="N2250" s="589"/>
      <c r="O2250" s="589"/>
    </row>
    <row r="2251" spans="1:15" s="122" customFormat="1" ht="12.75" customHeight="1">
      <c r="A2251" s="337"/>
      <c r="B2251" s="337"/>
      <c r="C2251" s="1019" t="s">
        <v>2094</v>
      </c>
      <c r="D2251" s="1019"/>
      <c r="E2251" s="1019"/>
      <c r="F2251" s="1019"/>
      <c r="G2251" s="389" t="s">
        <v>96</v>
      </c>
      <c r="H2251" s="613">
        <v>4</v>
      </c>
      <c r="I2251" s="582"/>
      <c r="J2251" s="582"/>
      <c r="K2251" s="583"/>
      <c r="L2251" s="583"/>
      <c r="M2251" s="583"/>
      <c r="N2251" s="589"/>
      <c r="O2251" s="589"/>
    </row>
    <row r="2252" spans="1:15" s="122" customFormat="1" ht="12.75" customHeight="1">
      <c r="A2252" s="337"/>
      <c r="B2252" s="337"/>
      <c r="C2252" s="1019" t="s">
        <v>2095</v>
      </c>
      <c r="D2252" s="1019"/>
      <c r="E2252" s="1019"/>
      <c r="F2252" s="1019"/>
      <c r="G2252" s="389" t="s">
        <v>96</v>
      </c>
      <c r="H2252" s="613">
        <v>5</v>
      </c>
      <c r="I2252" s="582"/>
      <c r="J2252" s="582"/>
      <c r="K2252" s="583"/>
      <c r="L2252" s="583"/>
      <c r="M2252" s="583"/>
      <c r="N2252" s="589"/>
      <c r="O2252" s="589"/>
    </row>
    <row r="2253" spans="1:15" ht="33.75" customHeight="1">
      <c r="A2253" s="377">
        <f>ORÇAMENTO!A317</f>
        <v>97599</v>
      </c>
      <c r="B2253" s="377" t="str">
        <f>ORÇAMENTO!C317</f>
        <v>14.02</v>
      </c>
      <c r="C2253" s="1004" t="str">
        <f>ORÇAMENTO!D317</f>
        <v>LUMINÁRIA DE EMERGÊNCIA, COM 30 LÂMPADAS LED DE 2 W, SEM REATOR - FORNECIMENTO E INSTALAÇÃO. AF_02/2020</v>
      </c>
      <c r="D2253" s="1004"/>
      <c r="E2253" s="1004"/>
      <c r="F2253" s="1004"/>
      <c r="G2253" s="425" t="str">
        <f>ORÇAMENTO!E317</f>
        <v xml:space="preserve">UN </v>
      </c>
      <c r="H2253" s="614">
        <f>SUM(H2254:H2254)</f>
        <v>12</v>
      </c>
      <c r="I2253" s="615"/>
      <c r="J2253" s="615"/>
      <c r="K2253" s="616"/>
      <c r="L2253" s="616"/>
      <c r="M2253" s="616"/>
      <c r="N2253" s="698"/>
      <c r="O2253" s="698"/>
    </row>
    <row r="2254" spans="1:15" s="122" customFormat="1" ht="12.75" customHeight="1">
      <c r="A2254" s="337"/>
      <c r="B2254" s="337"/>
      <c r="C2254" s="1019" t="s">
        <v>2096</v>
      </c>
      <c r="D2254" s="1019"/>
      <c r="E2254" s="1019"/>
      <c r="F2254" s="1019"/>
      <c r="G2254" s="471" t="s">
        <v>55</v>
      </c>
      <c r="H2254" s="613">
        <v>12</v>
      </c>
      <c r="I2254" s="582"/>
      <c r="J2254" s="582"/>
      <c r="K2254" s="583"/>
      <c r="L2254" s="583"/>
      <c r="M2254" s="583"/>
      <c r="N2254" s="589"/>
      <c r="O2254" s="589"/>
    </row>
    <row r="2255" spans="1:15" s="122" customFormat="1">
      <c r="A2255" s="337"/>
      <c r="B2255" s="337"/>
      <c r="C2255" s="1002"/>
      <c r="D2255" s="1002"/>
      <c r="E2255" s="1002"/>
      <c r="F2255" s="1002"/>
      <c r="G2255" s="471"/>
      <c r="H2255" s="613"/>
      <c r="I2255" s="582"/>
      <c r="J2255" s="582"/>
      <c r="K2255" s="583"/>
      <c r="L2255" s="583"/>
      <c r="M2255" s="583"/>
      <c r="N2255" s="589"/>
      <c r="O2255" s="589"/>
    </row>
    <row r="2256" spans="1:15" ht="33" customHeight="1">
      <c r="A2256" s="377">
        <f>ORÇAMENTO!A318</f>
        <v>1511</v>
      </c>
      <c r="B2256" s="377" t="str">
        <f>ORÇAMENTO!C318</f>
        <v>14.03</v>
      </c>
      <c r="C2256" s="1004" t="str">
        <f>ORÇAMENTO!D318</f>
        <v>EXTINTOR DE PÓ QUÍMICO ABC, CAPACIDADE 6 KG, ALCANCE MÉDIO DO JATO 5M , TEMPO DE DESCARGA 12S, NBR9443, 9444, 10721</v>
      </c>
      <c r="D2256" s="1004"/>
      <c r="E2256" s="1004"/>
      <c r="F2256" s="1004"/>
      <c r="G2256" s="425" t="str">
        <f>ORÇAMENTO!E318</f>
        <v xml:space="preserve">UN </v>
      </c>
      <c r="H2256" s="614">
        <f>SUM(H2257:H2257)</f>
        <v>7</v>
      </c>
      <c r="I2256" s="615"/>
      <c r="J2256" s="615"/>
      <c r="K2256" s="616"/>
      <c r="L2256" s="616"/>
      <c r="M2256" s="616"/>
      <c r="N2256" s="698"/>
      <c r="O2256" s="698"/>
    </row>
    <row r="2257" spans="1:15" s="122" customFormat="1" ht="12.75" customHeight="1">
      <c r="A2257" s="337"/>
      <c r="B2257" s="337"/>
      <c r="C2257" s="1019" t="s">
        <v>2096</v>
      </c>
      <c r="D2257" s="1019"/>
      <c r="E2257" s="1019"/>
      <c r="F2257" s="1019"/>
      <c r="G2257" s="471" t="s">
        <v>55</v>
      </c>
      <c r="H2257" s="613">
        <v>7</v>
      </c>
      <c r="I2257" s="582"/>
      <c r="J2257" s="582"/>
      <c r="K2257" s="583"/>
      <c r="L2257" s="583"/>
      <c r="M2257" s="583"/>
      <c r="N2257" s="589"/>
      <c r="O2257" s="589"/>
    </row>
    <row r="2258" spans="1:15" ht="18.75" customHeight="1">
      <c r="A2258" s="377">
        <f>ORÇAMENTO!A319</f>
        <v>12138</v>
      </c>
      <c r="B2258" s="377" t="str">
        <f>ORÇAMENTO!C319</f>
        <v>14.04</v>
      </c>
      <c r="C2258" s="1003" t="str">
        <f>ORÇAMENTO!D319</f>
        <v xml:space="preserve">PLACA DE INDICATIVA DE "EXTINTOR" EM PVC, DIM.: 20 X 20 CM </v>
      </c>
      <c r="D2258" s="1003"/>
      <c r="E2258" s="1003"/>
      <c r="F2258" s="1003"/>
      <c r="G2258" s="425" t="str">
        <f>ORÇAMENTO!E319</f>
        <v xml:space="preserve">UN </v>
      </c>
      <c r="H2258" s="614">
        <f>SUM(H2259)</f>
        <v>7</v>
      </c>
      <c r="I2258" s="615"/>
      <c r="J2258" s="615"/>
      <c r="K2258" s="616"/>
      <c r="L2258" s="616"/>
      <c r="M2258" s="616"/>
      <c r="N2258" s="698"/>
      <c r="O2258" s="698"/>
    </row>
    <row r="2259" spans="1:15" s="122" customFormat="1" ht="12.75" customHeight="1">
      <c r="A2259" s="337"/>
      <c r="B2259" s="337"/>
      <c r="C2259" s="1019" t="s">
        <v>2096</v>
      </c>
      <c r="D2259" s="1019"/>
      <c r="E2259" s="1019"/>
      <c r="F2259" s="1019"/>
      <c r="G2259" s="471" t="s">
        <v>96</v>
      </c>
      <c r="H2259" s="613">
        <f>H2256</f>
        <v>7</v>
      </c>
      <c r="I2259" s="582"/>
      <c r="J2259" s="582"/>
      <c r="K2259" s="583"/>
      <c r="L2259" s="583"/>
      <c r="M2259" s="583"/>
      <c r="N2259" s="589"/>
      <c r="O2259" s="589"/>
    </row>
    <row r="2260" spans="1:15" s="122" customFormat="1" ht="39" customHeight="1">
      <c r="A2260" s="377">
        <f>ORÇAMENTO!A320</f>
        <v>92342</v>
      </c>
      <c r="B2260" s="377" t="str">
        <f>ORÇAMENTO!C320</f>
        <v>14.05</v>
      </c>
      <c r="C2260" s="1003" t="str">
        <f>ORÇAMENTO!D320</f>
        <v>TUBO DE AÇO GALVANIZADO COM COSTURA, CLASSE MÉDIA, DN 65 (2 1/2"), CONEXÃO ROSQUEADA, INSTALADO EM PRUMADAS - FORNECIMENTO E INSTALAÇÃO. AF_12/2015</v>
      </c>
      <c r="D2260" s="1003"/>
      <c r="E2260" s="1003"/>
      <c r="F2260" s="1003"/>
      <c r="G2260" s="425" t="str">
        <f>ORÇAMENTO!E320</f>
        <v>M</v>
      </c>
      <c r="H2260" s="614">
        <f>SUM(H2261)</f>
        <v>190</v>
      </c>
      <c r="I2260" s="615"/>
      <c r="J2260" s="615"/>
      <c r="K2260" s="616"/>
      <c r="L2260" s="616"/>
      <c r="M2260" s="616"/>
      <c r="N2260" s="698"/>
      <c r="O2260" s="698"/>
    </row>
    <row r="2261" spans="1:15" s="122" customFormat="1">
      <c r="A2261" s="337"/>
      <c r="B2261" s="337"/>
      <c r="C2261" s="1002" t="s">
        <v>2096</v>
      </c>
      <c r="D2261" s="1002"/>
      <c r="E2261" s="1002"/>
      <c r="F2261" s="1002"/>
      <c r="G2261" s="471" t="s">
        <v>246</v>
      </c>
      <c r="H2261" s="613">
        <v>190</v>
      </c>
      <c r="I2261" s="582"/>
      <c r="J2261" s="582"/>
      <c r="K2261" s="583"/>
      <c r="L2261" s="583"/>
      <c r="M2261" s="583"/>
      <c r="N2261" s="589"/>
      <c r="O2261" s="589"/>
    </row>
    <row r="2262" spans="1:15" s="122" customFormat="1" ht="45" customHeight="1">
      <c r="A2262" s="377">
        <f>ORÇAMENTO!A321</f>
        <v>92656</v>
      </c>
      <c r="B2262" s="377" t="str">
        <f>ORÇAMENTO!C321</f>
        <v>14.06</v>
      </c>
      <c r="C2262" s="1003" t="str">
        <f>ORÇAMENTO!D321</f>
        <v>TUBO DE AÇO GALVANIZADO COM COSTURA, CLASSE MÉDIA, CONEXÃO ROSQUEADA, DN 80 (3"), INSTALADO EM REDE DE ALIMENTAÇÃO PARA SPRINKLER - FORNECIMENTO E INSTALAÇÃO. AF_10/2020</v>
      </c>
      <c r="D2262" s="1003"/>
      <c r="E2262" s="1003"/>
      <c r="F2262" s="1003"/>
      <c r="G2262" s="425" t="str">
        <f>ORÇAMENTO!E321</f>
        <v>M</v>
      </c>
      <c r="H2262" s="614">
        <f>SUM(H2263)</f>
        <v>20</v>
      </c>
      <c r="I2262" s="615"/>
      <c r="J2262" s="615"/>
      <c r="K2262" s="616"/>
      <c r="L2262" s="616"/>
      <c r="M2262" s="616"/>
      <c r="N2262" s="698"/>
      <c r="O2262" s="698"/>
    </row>
    <row r="2263" spans="1:15" s="122" customFormat="1">
      <c r="A2263" s="337"/>
      <c r="B2263" s="337"/>
      <c r="C2263" s="1002" t="s">
        <v>2096</v>
      </c>
      <c r="D2263" s="1002"/>
      <c r="E2263" s="1002"/>
      <c r="F2263" s="1002"/>
      <c r="G2263" s="471" t="s">
        <v>246</v>
      </c>
      <c r="H2263" s="613">
        <v>20</v>
      </c>
      <c r="I2263" s="582"/>
      <c r="J2263" s="582"/>
      <c r="K2263" s="583"/>
      <c r="L2263" s="583"/>
      <c r="M2263" s="583"/>
      <c r="N2263" s="589"/>
      <c r="O2263" s="589"/>
    </row>
    <row r="2264" spans="1:15" s="122" customFormat="1" ht="24.75" customHeight="1">
      <c r="A2264" s="377">
        <f>ORÇAMENTO!A322</f>
        <v>99624</v>
      </c>
      <c r="B2264" s="377" t="str">
        <f>ORÇAMENTO!C322</f>
        <v>14.07</v>
      </c>
      <c r="C2264" s="1003" t="str">
        <f>ORÇAMENTO!D322</f>
        <v>VÁLVULA DE RETENÇÃO HORIZONTAL, DE BRONZE, ROSCÁVEL, 2 1/2" - FORNECIMENTO E INSTALAÇÃO. AF_08/2021</v>
      </c>
      <c r="D2264" s="1003"/>
      <c r="E2264" s="1003"/>
      <c r="F2264" s="1003"/>
      <c r="G2264" s="425" t="str">
        <f>ORÇAMENTO!E322</f>
        <v xml:space="preserve">UN </v>
      </c>
      <c r="H2264" s="614">
        <f>SUM(H2265)</f>
        <v>1</v>
      </c>
      <c r="I2264" s="615"/>
      <c r="J2264" s="615"/>
      <c r="K2264" s="616"/>
      <c r="L2264" s="616"/>
      <c r="M2264" s="616"/>
      <c r="N2264" s="698"/>
      <c r="O2264" s="698"/>
    </row>
    <row r="2265" spans="1:15" s="122" customFormat="1">
      <c r="A2265" s="337"/>
      <c r="B2265" s="337"/>
      <c r="C2265" s="1002" t="s">
        <v>2096</v>
      </c>
      <c r="D2265" s="1002"/>
      <c r="E2265" s="1002"/>
      <c r="F2265" s="1002"/>
      <c r="G2265" s="471" t="s">
        <v>96</v>
      </c>
      <c r="H2265" s="613">
        <v>1</v>
      </c>
      <c r="I2265" s="582"/>
      <c r="J2265" s="582"/>
      <c r="K2265" s="583"/>
      <c r="L2265" s="583"/>
      <c r="M2265" s="583"/>
      <c r="N2265" s="589"/>
      <c r="O2265" s="589"/>
    </row>
    <row r="2266" spans="1:15" s="122" customFormat="1" ht="39.75" customHeight="1">
      <c r="A2266" s="377">
        <f>ORÇAMENTO!A323</f>
        <v>99633</v>
      </c>
      <c r="B2266" s="377" t="str">
        <f>ORÇAMENTO!C323</f>
        <v>14.08</v>
      </c>
      <c r="C2266" s="1003" t="str">
        <f>ORÇAMENTO!D323</f>
        <v>VÁLVULA DE RETENÇÃO VERTICAL, DE BRONZE, ROSCÁVEL, 3" - FORNECIMENTO E INSTALAÇÃO. AF_08/2021</v>
      </c>
      <c r="D2266" s="1003"/>
      <c r="E2266" s="1003"/>
      <c r="F2266" s="1003"/>
      <c r="G2266" s="425" t="str">
        <f>ORÇAMENTO!E323</f>
        <v xml:space="preserve">UN </v>
      </c>
      <c r="H2266" s="614">
        <f>SUM(H2267)</f>
        <v>4</v>
      </c>
      <c r="I2266" s="615"/>
      <c r="J2266" s="615"/>
      <c r="K2266" s="616"/>
      <c r="L2266" s="616"/>
      <c r="M2266" s="616"/>
      <c r="N2266" s="698"/>
      <c r="O2266" s="698"/>
    </row>
    <row r="2267" spans="1:15" s="122" customFormat="1">
      <c r="A2267" s="337"/>
      <c r="B2267" s="337"/>
      <c r="C2267" s="1002" t="s">
        <v>2096</v>
      </c>
      <c r="D2267" s="1002"/>
      <c r="E2267" s="1002"/>
      <c r="F2267" s="1002"/>
      <c r="G2267" s="471" t="s">
        <v>96</v>
      </c>
      <c r="H2267" s="613">
        <v>4</v>
      </c>
      <c r="I2267" s="582"/>
      <c r="J2267" s="582"/>
      <c r="K2267" s="583"/>
      <c r="L2267" s="583"/>
      <c r="M2267" s="583"/>
      <c r="N2267" s="589"/>
      <c r="O2267" s="589"/>
    </row>
    <row r="2268" spans="1:15" s="122" customFormat="1" ht="36.75" customHeight="1">
      <c r="A2268" s="377">
        <f>ORÇAMENTO!A324</f>
        <v>92390</v>
      </c>
      <c r="B2268" s="377" t="str">
        <f>ORÇAMENTO!C324</f>
        <v>14.09</v>
      </c>
      <c r="C2268" s="1003" t="str">
        <f>ORÇAMENTO!D324</f>
        <v>JOELHO 90 GRAUS, EM FERRO GALVANIZADO, DN 65 (2 1/2"), CONEXÃO ROSQUEADA, INSTALADO EM REDE DE ALIMENTAÇÃO PARA HIDRANTE - FORNECIMENTO E INSTALAÇÃO. AF_12/2015</v>
      </c>
      <c r="D2268" s="1003"/>
      <c r="E2268" s="1003"/>
      <c r="F2268" s="1003"/>
      <c r="G2268" s="425" t="str">
        <f>ORÇAMENTO!E324</f>
        <v xml:space="preserve">UN </v>
      </c>
      <c r="H2268" s="614">
        <f>SUM(H2269)</f>
        <v>12</v>
      </c>
      <c r="I2268" s="615"/>
      <c r="J2268" s="615"/>
      <c r="K2268" s="616"/>
      <c r="L2268" s="616"/>
      <c r="M2268" s="616"/>
      <c r="N2268" s="698"/>
      <c r="O2268" s="698"/>
    </row>
    <row r="2269" spans="1:15" s="122" customFormat="1">
      <c r="A2269" s="337"/>
      <c r="B2269" s="337"/>
      <c r="C2269" s="1002" t="s">
        <v>2096</v>
      </c>
      <c r="D2269" s="1002"/>
      <c r="E2269" s="1002"/>
      <c r="F2269" s="1002"/>
      <c r="G2269" s="471" t="s">
        <v>96</v>
      </c>
      <c r="H2269" s="613">
        <v>12</v>
      </c>
      <c r="I2269" s="582"/>
      <c r="J2269" s="582"/>
      <c r="K2269" s="583"/>
      <c r="L2269" s="583"/>
      <c r="M2269" s="583"/>
      <c r="N2269" s="589"/>
      <c r="O2269" s="589"/>
    </row>
    <row r="2270" spans="1:15" s="122" customFormat="1" ht="39.75" customHeight="1">
      <c r="A2270" s="377">
        <f>ORÇAMENTO!A325</f>
        <v>92636</v>
      </c>
      <c r="B2270" s="377" t="str">
        <f>ORÇAMENTO!C325</f>
        <v>14.10</v>
      </c>
      <c r="C2270" s="1003" t="str">
        <f>ORÇAMENTO!D325</f>
        <v>JOELHO 90 GRAUS, EM FERRO GALVANIZADO, CONEXÃO ROSQUEADA, DN 80 (3"), INSTALADO EM REDE DE ALIMENTAÇÃO PARA HIDRANTE - FORNECIMENTO E INSTALAÇÃO. AF_10/2020</v>
      </c>
      <c r="D2270" s="1003"/>
      <c r="E2270" s="1003"/>
      <c r="F2270" s="1003"/>
      <c r="G2270" s="425" t="str">
        <f>ORÇAMENTO!E325</f>
        <v xml:space="preserve">UN </v>
      </c>
      <c r="H2270" s="614">
        <f>SUM(H2271)</f>
        <v>8</v>
      </c>
      <c r="I2270" s="615"/>
      <c r="J2270" s="615"/>
      <c r="K2270" s="616"/>
      <c r="L2270" s="616"/>
      <c r="M2270" s="616"/>
      <c r="N2270" s="698"/>
      <c r="O2270" s="698"/>
    </row>
    <row r="2271" spans="1:15" s="122" customFormat="1">
      <c r="A2271" s="337"/>
      <c r="B2271" s="337"/>
      <c r="C2271" s="1002" t="s">
        <v>2096</v>
      </c>
      <c r="D2271" s="1002"/>
      <c r="E2271" s="1002"/>
      <c r="F2271" s="1002"/>
      <c r="G2271" s="471" t="s">
        <v>96</v>
      </c>
      <c r="H2271" s="613">
        <v>8</v>
      </c>
      <c r="I2271" s="582"/>
      <c r="J2271" s="582"/>
      <c r="K2271" s="583"/>
      <c r="L2271" s="583"/>
      <c r="M2271" s="583"/>
      <c r="N2271" s="589"/>
      <c r="O2271" s="589"/>
    </row>
    <row r="2272" spans="1:15" s="122" customFormat="1" ht="25.5" customHeight="1">
      <c r="A2272" s="377">
        <f>ORÇAMENTO!A326</f>
        <v>94500</v>
      </c>
      <c r="B2272" s="377" t="str">
        <f>ORÇAMENTO!C326</f>
        <v>14.11</v>
      </c>
      <c r="C2272" s="1003" t="str">
        <f>ORÇAMENTO!D326</f>
        <v>REGISTRO DE GAVETA BRUTO, LATÃO, ROSCÁVEL, 3" - FORNECIMENTO E INSTALAÇÃO. AF_08/2021</v>
      </c>
      <c r="D2272" s="1003"/>
      <c r="E2272" s="1003"/>
      <c r="F2272" s="1003"/>
      <c r="G2272" s="425" t="str">
        <f>ORÇAMENTO!E326</f>
        <v xml:space="preserve">UN </v>
      </c>
      <c r="H2272" s="614">
        <f>SUM(H2273)</f>
        <v>4</v>
      </c>
      <c r="I2272" s="615"/>
      <c r="J2272" s="615"/>
      <c r="K2272" s="616"/>
      <c r="L2272" s="616"/>
      <c r="M2272" s="616"/>
      <c r="N2272" s="698"/>
      <c r="O2272" s="698"/>
    </row>
    <row r="2273" spans="1:15" s="122" customFormat="1">
      <c r="A2273" s="337"/>
      <c r="B2273" s="337"/>
      <c r="C2273" s="1002" t="s">
        <v>2096</v>
      </c>
      <c r="D2273" s="1002"/>
      <c r="E2273" s="1002"/>
      <c r="F2273" s="1002"/>
      <c r="G2273" s="471" t="s">
        <v>96</v>
      </c>
      <c r="H2273" s="613">
        <v>4</v>
      </c>
      <c r="I2273" s="582"/>
      <c r="J2273" s="582"/>
      <c r="K2273" s="583"/>
      <c r="L2273" s="583"/>
      <c r="M2273" s="583"/>
      <c r="N2273" s="589"/>
      <c r="O2273" s="589"/>
    </row>
    <row r="2274" spans="1:15" s="122" customFormat="1" ht="38.25" customHeight="1">
      <c r="A2274" s="377">
        <f>ORÇAMENTO!A327</f>
        <v>92357</v>
      </c>
      <c r="B2274" s="377" t="str">
        <f>ORÇAMENTO!C327</f>
        <v>14.12</v>
      </c>
      <c r="C2274" s="1003" t="str">
        <f>ORÇAMENTO!D327</f>
        <v>TÊ, EM FERRO GALVANIZADO, DN 65 (2 1/2"), CONEXÃO ROSQUEADA, INSTALADO EM PRUMADAS - FORNECIMENTO E INSTALAÇÃO. AF_10/2020</v>
      </c>
      <c r="D2274" s="1003"/>
      <c r="E2274" s="1003"/>
      <c r="F2274" s="1003"/>
      <c r="G2274" s="425" t="str">
        <f>ORÇAMENTO!E328</f>
        <v xml:space="preserve">UN </v>
      </c>
      <c r="H2274" s="614">
        <f>SUM(H2275)</f>
        <v>3</v>
      </c>
      <c r="I2274" s="615"/>
      <c r="J2274" s="615"/>
      <c r="K2274" s="616"/>
      <c r="L2274" s="616"/>
      <c r="M2274" s="616"/>
      <c r="N2274" s="698"/>
      <c r="O2274" s="698"/>
    </row>
    <row r="2275" spans="1:15" s="122" customFormat="1">
      <c r="A2275" s="337"/>
      <c r="B2275" s="337"/>
      <c r="C2275" s="1002" t="s">
        <v>2096</v>
      </c>
      <c r="D2275" s="1002"/>
      <c r="E2275" s="1002"/>
      <c r="F2275" s="1002"/>
      <c r="G2275" s="471" t="s">
        <v>96</v>
      </c>
      <c r="H2275" s="613">
        <v>3</v>
      </c>
      <c r="I2275" s="582"/>
      <c r="J2275" s="582"/>
      <c r="K2275" s="583"/>
      <c r="L2275" s="583"/>
      <c r="M2275" s="583"/>
      <c r="N2275" s="589"/>
      <c r="O2275" s="589"/>
    </row>
    <row r="2276" spans="1:15" s="122" customFormat="1" ht="37.5" customHeight="1">
      <c r="A2276" s="377">
        <f>ORÇAMENTO!A328</f>
        <v>92358</v>
      </c>
      <c r="B2276" s="377" t="str">
        <f>ORÇAMENTO!C328</f>
        <v>14.13</v>
      </c>
      <c r="C2276" s="1003" t="str">
        <f>ORÇAMENTO!D328</f>
        <v>TÊ, EM FERRO GALVANIZADO, DN 80 (3"), CONEXÃO ROSQUEADA, INSTALADO EM PRUMADAS - FORNECIMENTO E INSTALAÇÃO. AF_10/2020</v>
      </c>
      <c r="D2276" s="1003"/>
      <c r="E2276" s="1003"/>
      <c r="F2276" s="1003"/>
      <c r="G2276" s="425" t="str">
        <f>ORÇAMENTO!E328</f>
        <v xml:space="preserve">UN </v>
      </c>
      <c r="H2276" s="614">
        <f>SUM(H2277)</f>
        <v>4</v>
      </c>
      <c r="I2276" s="615"/>
      <c r="J2276" s="615"/>
      <c r="K2276" s="616"/>
      <c r="L2276" s="616"/>
      <c r="M2276" s="616"/>
      <c r="N2276" s="698"/>
      <c r="O2276" s="698"/>
    </row>
    <row r="2277" spans="1:15" s="122" customFormat="1">
      <c r="A2277" s="337"/>
      <c r="B2277" s="337"/>
      <c r="C2277" s="1002" t="s">
        <v>2096</v>
      </c>
      <c r="D2277" s="1002"/>
      <c r="E2277" s="1002"/>
      <c r="F2277" s="1002"/>
      <c r="G2277" s="471" t="s">
        <v>96</v>
      </c>
      <c r="H2277" s="613">
        <v>4</v>
      </c>
      <c r="I2277" s="582"/>
      <c r="J2277" s="582"/>
      <c r="K2277" s="583"/>
      <c r="L2277" s="583"/>
      <c r="M2277" s="583"/>
      <c r="N2277" s="589"/>
      <c r="O2277" s="589"/>
    </row>
    <row r="2278" spans="1:15" s="122" customFormat="1" ht="38.25" customHeight="1">
      <c r="A2278" s="377">
        <f>ORÇAMENTO!A329</f>
        <v>101916</v>
      </c>
      <c r="B2278" s="377" t="str">
        <f>ORÇAMENTO!C329</f>
        <v>14.14</v>
      </c>
      <c r="C2278" s="1003" t="str">
        <f>ORÇAMENTO!D329</f>
        <v>HIDRANTE SUBTERRÂNEO PREDIAL (COM CURVA LONGA E CAIXA), DN 75 MM - FORNECIMENTO E INSTALAÇÃO. AF_10/2020</v>
      </c>
      <c r="D2278" s="1003"/>
      <c r="E2278" s="1003"/>
      <c r="F2278" s="1003"/>
      <c r="G2278" s="425" t="str">
        <f>ORÇAMENTO!E329</f>
        <v xml:space="preserve">UN </v>
      </c>
      <c r="H2278" s="614">
        <f>SUM(H2279)</f>
        <v>1</v>
      </c>
      <c r="I2278" s="615"/>
      <c r="J2278" s="615"/>
      <c r="K2278" s="616"/>
      <c r="L2278" s="616"/>
      <c r="M2278" s="616"/>
      <c r="N2278" s="698"/>
      <c r="O2278" s="698"/>
    </row>
    <row r="2279" spans="1:15" s="122" customFormat="1">
      <c r="A2279" s="337"/>
      <c r="B2279" s="337"/>
      <c r="C2279" s="1002" t="s">
        <v>2096</v>
      </c>
      <c r="D2279" s="1002"/>
      <c r="E2279" s="1002"/>
      <c r="F2279" s="1002"/>
      <c r="G2279" s="471" t="s">
        <v>96</v>
      </c>
      <c r="H2279" s="613">
        <v>1</v>
      </c>
      <c r="I2279" s="582"/>
      <c r="J2279" s="582"/>
      <c r="K2279" s="583"/>
      <c r="L2279" s="583"/>
      <c r="M2279" s="583"/>
      <c r="N2279" s="589"/>
      <c r="O2279" s="589"/>
    </row>
    <row r="2280" spans="1:15" s="122" customFormat="1" ht="38.25" customHeight="1">
      <c r="A2280" s="377">
        <f>ORÇAMENTO!A330</f>
        <v>7326</v>
      </c>
      <c r="B2280" s="377" t="str">
        <f>ORÇAMENTO!C330</f>
        <v>14.15</v>
      </c>
      <c r="C2280" s="1003" t="str">
        <f>ORÇAMENTO!D330</f>
        <v>ABRIGO PARA HIDRANTE INTERNO, INCLUSIVE CAIXA EMBUTIR CHAPA FERRO N.º 14, DIMENSÕES 0.90 X 0.60 X 0.17 M, REGISTRO TIPO GLOBO 2 1/2", MANGUEIRA (30M) COM ESGUICHO E CONEXÕES - REV 03</v>
      </c>
      <c r="D2280" s="1003"/>
      <c r="E2280" s="1003"/>
      <c r="F2280" s="1003"/>
      <c r="G2280" s="425" t="str">
        <f>ORÇAMENTO!E330</f>
        <v xml:space="preserve">UN </v>
      </c>
      <c r="H2280" s="614">
        <f>SUM(H2281)</f>
        <v>2</v>
      </c>
      <c r="I2280" s="615"/>
      <c r="J2280" s="615"/>
      <c r="K2280" s="616"/>
      <c r="L2280" s="616"/>
      <c r="M2280" s="616"/>
      <c r="N2280" s="698"/>
      <c r="O2280" s="698"/>
    </row>
    <row r="2281" spans="1:15" s="122" customFormat="1">
      <c r="A2281" s="337"/>
      <c r="B2281" s="337"/>
      <c r="C2281" s="1002" t="s">
        <v>2096</v>
      </c>
      <c r="D2281" s="1002"/>
      <c r="E2281" s="1002"/>
      <c r="F2281" s="1002"/>
      <c r="G2281" s="471" t="s">
        <v>96</v>
      </c>
      <c r="H2281" s="613">
        <v>2</v>
      </c>
      <c r="I2281" s="582"/>
      <c r="J2281" s="582"/>
      <c r="K2281" s="583"/>
      <c r="L2281" s="583"/>
      <c r="M2281" s="583"/>
      <c r="N2281" s="589"/>
      <c r="O2281" s="589"/>
    </row>
    <row r="2282" spans="1:15" s="122" customFormat="1" ht="20.25" customHeight="1">
      <c r="A2282" s="344">
        <f>ORÇAMENTO!A331</f>
        <v>11829</v>
      </c>
      <c r="B2282" s="344" t="str">
        <f>ORÇAMENTO!C331</f>
        <v>14.16</v>
      </c>
      <c r="C2282" s="1014" t="str">
        <f>ORÇAMENTO!D331</f>
        <v>ACIONADOR MANUAL (BOTOEIRA), P/INSTAL. INCENDIO - ENDEREÇÁVEL</v>
      </c>
      <c r="D2282" s="1014"/>
      <c r="E2282" s="1014"/>
      <c r="F2282" s="1014"/>
      <c r="G2282" s="435" t="str">
        <f>ORÇAMENTO!E331</f>
        <v xml:space="preserve">UN </v>
      </c>
      <c r="H2282" s="650">
        <f>SUM(H2283)</f>
        <v>2</v>
      </c>
      <c r="I2282" s="651"/>
      <c r="J2282" s="651"/>
      <c r="K2282" s="652"/>
      <c r="L2282" s="652"/>
      <c r="M2282" s="652"/>
      <c r="N2282" s="699"/>
      <c r="O2282" s="699"/>
    </row>
    <row r="2283" spans="1:15" s="122" customFormat="1">
      <c r="A2283" s="337"/>
      <c r="B2283" s="337"/>
      <c r="C2283" s="1019" t="s">
        <v>2096</v>
      </c>
      <c r="D2283" s="1019"/>
      <c r="E2283" s="1019"/>
      <c r="F2283" s="1019"/>
      <c r="G2283" s="471" t="s">
        <v>96</v>
      </c>
      <c r="H2283" s="613">
        <v>2</v>
      </c>
      <c r="I2283" s="582"/>
      <c r="J2283" s="582"/>
      <c r="K2283" s="583"/>
      <c r="L2283" s="583"/>
      <c r="M2283" s="583"/>
      <c r="N2283" s="589"/>
      <c r="O2283" s="589"/>
    </row>
    <row r="2284" spans="1:15" s="122" customFormat="1" ht="25.5" customHeight="1">
      <c r="A2284" s="344">
        <f>ORÇAMENTO!A332</f>
        <v>11824</v>
      </c>
      <c r="B2284" s="344" t="str">
        <f>ORÇAMENTO!C332</f>
        <v>14.17</v>
      </c>
      <c r="C2284" s="1014" t="str">
        <f>ORÇAMENTO!D332</f>
        <v>SIRENE AÚDIOVISUAL ENDEREÇAVEL, 120DB, PARA ALARME DE INCÊNDIO</v>
      </c>
      <c r="D2284" s="1014"/>
      <c r="E2284" s="1014"/>
      <c r="F2284" s="1014"/>
      <c r="G2284" s="435" t="str">
        <f>ORÇAMENTO!E333</f>
        <v xml:space="preserve">UN </v>
      </c>
      <c r="H2284" s="650">
        <f>SUM(H2285)</f>
        <v>3</v>
      </c>
      <c r="I2284" s="651"/>
      <c r="J2284" s="651"/>
      <c r="K2284" s="652"/>
      <c r="L2284" s="652"/>
      <c r="M2284" s="652"/>
      <c r="N2284" s="699"/>
      <c r="O2284" s="699"/>
    </row>
    <row r="2285" spans="1:15" s="122" customFormat="1">
      <c r="A2285" s="337"/>
      <c r="B2285" s="337"/>
      <c r="C2285" s="1019" t="s">
        <v>2096</v>
      </c>
      <c r="D2285" s="1019"/>
      <c r="E2285" s="1019"/>
      <c r="F2285" s="1019"/>
      <c r="G2285" s="471" t="s">
        <v>96</v>
      </c>
      <c r="H2285" s="613">
        <v>3</v>
      </c>
      <c r="I2285" s="582"/>
      <c r="J2285" s="582"/>
      <c r="K2285" s="583"/>
      <c r="L2285" s="583"/>
      <c r="M2285" s="583"/>
      <c r="N2285" s="589"/>
      <c r="O2285" s="589"/>
    </row>
    <row r="2286" spans="1:15" s="122" customFormat="1" ht="26.25" customHeight="1">
      <c r="A2286" s="344">
        <f>ORÇAMENTO!A333</f>
        <v>8058</v>
      </c>
      <c r="B2286" s="344" t="str">
        <f>ORÇAMENTO!C333</f>
        <v>14.18</v>
      </c>
      <c r="C2286" s="1014" t="str">
        <f>ORÇAMENTO!D333</f>
        <v>CENTRAL DE ALARME E DETECÇÃO DE INCENDIO, CAPACIDADE: 8 LAÇOS, COM 2 LINHAS, MOD.VR-8L, VERIN OU SIMILAR</v>
      </c>
      <c r="D2286" s="1014"/>
      <c r="E2286" s="1014"/>
      <c r="F2286" s="1014"/>
      <c r="G2286" s="435" t="str">
        <f>ORÇAMENTO!E333</f>
        <v xml:space="preserve">UN </v>
      </c>
      <c r="H2286" s="650">
        <f>SUM(H2287)</f>
        <v>1</v>
      </c>
      <c r="I2286" s="651"/>
      <c r="J2286" s="651"/>
      <c r="K2286" s="652"/>
      <c r="L2286" s="652"/>
      <c r="M2286" s="652"/>
      <c r="N2286" s="699"/>
      <c r="O2286" s="699"/>
    </row>
    <row r="2287" spans="1:15" s="122" customFormat="1">
      <c r="A2287" s="337"/>
      <c r="B2287" s="337"/>
      <c r="C2287" s="1019" t="s">
        <v>2096</v>
      </c>
      <c r="D2287" s="1019"/>
      <c r="E2287" s="1019"/>
      <c r="F2287" s="1019"/>
      <c r="G2287" s="471" t="s">
        <v>96</v>
      </c>
      <c r="H2287" s="613">
        <v>1</v>
      </c>
      <c r="I2287" s="582"/>
      <c r="J2287" s="582"/>
      <c r="K2287" s="583"/>
      <c r="L2287" s="583"/>
      <c r="M2287" s="583"/>
      <c r="N2287" s="589"/>
      <c r="O2287" s="589"/>
    </row>
    <row r="2288" spans="1:15" s="122" customFormat="1" ht="24" customHeight="1">
      <c r="A2288" s="344">
        <f>ORÇAMENTO!A334</f>
        <v>12016</v>
      </c>
      <c r="B2288" s="344" t="str">
        <f>ORÇAMENTO!C334</f>
        <v>14.19</v>
      </c>
      <c r="C2288" s="1014" t="str">
        <f>ORÇAMENTO!D334</f>
        <v>ACIONADOR MANUAL ENDEREÇAVEL - MODELO AME-2 DA VERIN OU SIMILAR, TIPO "APERTE AQUI"</v>
      </c>
      <c r="D2288" s="1014"/>
      <c r="E2288" s="1014"/>
      <c r="F2288" s="1014"/>
      <c r="G2288" s="435" t="str">
        <f>ORÇAMENTO!E334</f>
        <v xml:space="preserve">UN </v>
      </c>
      <c r="H2288" s="650">
        <f>SUM(H2289)</f>
        <v>1</v>
      </c>
      <c r="I2288" s="651"/>
      <c r="J2288" s="651"/>
      <c r="K2288" s="652"/>
      <c r="L2288" s="652"/>
      <c r="M2288" s="652"/>
      <c r="N2288" s="699"/>
      <c r="O2288" s="699"/>
    </row>
    <row r="2289" spans="1:15" s="122" customFormat="1" ht="24.75" customHeight="1">
      <c r="A2289" s="337"/>
      <c r="B2289" s="337"/>
      <c r="C2289" s="1015" t="s">
        <v>2097</v>
      </c>
      <c r="D2289" s="1015"/>
      <c r="E2289" s="1015"/>
      <c r="F2289" s="1015"/>
      <c r="G2289" s="471" t="s">
        <v>96</v>
      </c>
      <c r="H2289" s="613">
        <v>1</v>
      </c>
      <c r="I2289" s="582"/>
      <c r="J2289" s="582"/>
      <c r="K2289" s="583"/>
      <c r="L2289" s="583"/>
      <c r="M2289" s="583"/>
      <c r="N2289" s="589"/>
      <c r="O2289" s="589"/>
    </row>
    <row r="2290" spans="1:15" s="122" customFormat="1">
      <c r="A2290" s="344">
        <f>ORÇAMENTO!A335</f>
        <v>9669</v>
      </c>
      <c r="B2290" s="344" t="str">
        <f>ORÇAMENTO!C335</f>
        <v>14.20</v>
      </c>
      <c r="C2290" s="1014" t="str">
        <f>ORÇAMENTO!D335</f>
        <v>PERFILADO, PRÉ-ZINCADO A FOGO, PERFURADO 38 X 38 X 6000MM</v>
      </c>
      <c r="D2290" s="1014"/>
      <c r="E2290" s="1014"/>
      <c r="F2290" s="1014"/>
      <c r="G2290" s="435" t="str">
        <f>ORÇAMENTO!E335</f>
        <v xml:space="preserve">UN </v>
      </c>
      <c r="H2290" s="650">
        <f>SUM(H2291)</f>
        <v>7</v>
      </c>
      <c r="I2290" s="651"/>
      <c r="J2290" s="651"/>
      <c r="K2290" s="652"/>
      <c r="L2290" s="652"/>
      <c r="M2290" s="652"/>
      <c r="N2290" s="699"/>
      <c r="O2290" s="699"/>
    </row>
    <row r="2291" spans="1:15" s="122" customFormat="1">
      <c r="A2291" s="337"/>
      <c r="B2291" s="337"/>
      <c r="C2291" s="1015" t="s">
        <v>2096</v>
      </c>
      <c r="D2291" s="1015"/>
      <c r="E2291" s="1015"/>
      <c r="F2291" s="1015"/>
      <c r="G2291" s="471" t="s">
        <v>96</v>
      </c>
      <c r="H2291" s="613">
        <v>7</v>
      </c>
      <c r="I2291" s="582"/>
      <c r="J2291" s="582"/>
      <c r="K2291" s="583"/>
      <c r="L2291" s="583"/>
      <c r="M2291" s="583"/>
      <c r="N2291" s="589"/>
      <c r="O2291" s="589"/>
    </row>
    <row r="2292" spans="1:15" s="122" customFormat="1">
      <c r="A2292" s="344">
        <f>ORÇAMENTO!A336</f>
        <v>9526</v>
      </c>
      <c r="B2292" s="344" t="str">
        <f>ORÇAMENTO!C336</f>
        <v>14.21</v>
      </c>
      <c r="C2292" s="1014" t="str">
        <f>ORÇAMENTO!D336</f>
        <v>GANCHO CURTO PARA PERFILADO, ( REF.: MOPA OU SIMILAR)"</v>
      </c>
      <c r="D2292" s="1014"/>
      <c r="E2292" s="1014"/>
      <c r="F2292" s="1014"/>
      <c r="G2292" s="435" t="str">
        <f>ORÇAMENTO!E336</f>
        <v xml:space="preserve">UN </v>
      </c>
      <c r="H2292" s="650">
        <f>SUM(H2293)</f>
        <v>30</v>
      </c>
      <c r="I2292" s="651"/>
      <c r="J2292" s="651"/>
      <c r="K2292" s="652"/>
      <c r="L2292" s="652"/>
      <c r="M2292" s="652"/>
      <c r="N2292" s="699"/>
      <c r="O2292" s="699"/>
    </row>
    <row r="2293" spans="1:15" s="122" customFormat="1">
      <c r="A2293" s="337"/>
      <c r="B2293" s="337"/>
      <c r="C2293" s="1015" t="s">
        <v>2096</v>
      </c>
      <c r="D2293" s="1015"/>
      <c r="E2293" s="1015"/>
      <c r="F2293" s="1015"/>
      <c r="G2293" s="471" t="s">
        <v>96</v>
      </c>
      <c r="H2293" s="613">
        <v>30</v>
      </c>
      <c r="I2293" s="582"/>
      <c r="J2293" s="582"/>
      <c r="K2293" s="583"/>
      <c r="L2293" s="583"/>
      <c r="M2293" s="583"/>
      <c r="N2293" s="589"/>
      <c r="O2293" s="589"/>
    </row>
    <row r="2294" spans="1:15" s="122" customFormat="1">
      <c r="A2294" s="344">
        <f>ORÇAMENTO!A337</f>
        <v>12498</v>
      </c>
      <c r="B2294" s="344" t="str">
        <f>ORÇAMENTO!C337</f>
        <v>14.22</v>
      </c>
      <c r="C2294" s="1014" t="str">
        <f>ORÇAMENTO!D337</f>
        <v>BARRA ROSCADA BICROMATIZADA Ø 3/8" X 3000MM</v>
      </c>
      <c r="D2294" s="1014"/>
      <c r="E2294" s="1014"/>
      <c r="F2294" s="1014"/>
      <c r="G2294" s="435" t="str">
        <f>ORÇAMENTO!E337</f>
        <v>UN</v>
      </c>
      <c r="H2294" s="650">
        <f>SUM(H2295)</f>
        <v>10</v>
      </c>
      <c r="I2294" s="651"/>
      <c r="J2294" s="651"/>
      <c r="K2294" s="652"/>
      <c r="L2294" s="652"/>
      <c r="M2294" s="652"/>
      <c r="N2294" s="699"/>
      <c r="O2294" s="699"/>
    </row>
    <row r="2295" spans="1:15" s="122" customFormat="1">
      <c r="A2295" s="337"/>
      <c r="B2295" s="337"/>
      <c r="C2295" s="1015" t="s">
        <v>2096</v>
      </c>
      <c r="D2295" s="1015"/>
      <c r="E2295" s="1015"/>
      <c r="F2295" s="1015"/>
      <c r="G2295" s="471" t="s">
        <v>96</v>
      </c>
      <c r="H2295" s="613">
        <v>10</v>
      </c>
      <c r="I2295" s="582"/>
      <c r="J2295" s="582"/>
      <c r="K2295" s="583"/>
      <c r="L2295" s="583"/>
      <c r="M2295" s="583"/>
      <c r="N2295" s="589"/>
      <c r="O2295" s="589"/>
    </row>
    <row r="2296" spans="1:15" s="122" customFormat="1">
      <c r="A2296" s="344">
        <f>ORÇAMENTO!A338</f>
        <v>4190</v>
      </c>
      <c r="B2296" s="344" t="str">
        <f>ORÇAMENTO!C338</f>
        <v>14.23</v>
      </c>
      <c r="C2296" s="1014" t="str">
        <f>ORÇAMENTO!D338</f>
        <v>CHUMBADOR PARABOLT INOX 3/8" X 5", FORNECIMENTO</v>
      </c>
      <c r="D2296" s="1014"/>
      <c r="E2296" s="1014"/>
      <c r="F2296" s="1014"/>
      <c r="G2296" s="435" t="str">
        <f>ORÇAMENTO!E338</f>
        <v xml:space="preserve">UN </v>
      </c>
      <c r="H2296" s="650">
        <f>SUM(H2297)</f>
        <v>10</v>
      </c>
      <c r="I2296" s="651"/>
      <c r="J2296" s="651"/>
      <c r="K2296" s="652"/>
      <c r="L2296" s="652"/>
      <c r="M2296" s="652"/>
      <c r="N2296" s="699"/>
      <c r="O2296" s="699"/>
    </row>
    <row r="2297" spans="1:15" s="122" customFormat="1">
      <c r="A2297" s="337"/>
      <c r="B2297" s="337"/>
      <c r="C2297" s="1015" t="s">
        <v>2096</v>
      </c>
      <c r="D2297" s="1015"/>
      <c r="E2297" s="1015"/>
      <c r="F2297" s="1015"/>
      <c r="G2297" s="471" t="s">
        <v>96</v>
      </c>
      <c r="H2297" s="613">
        <v>10</v>
      </c>
      <c r="I2297" s="582"/>
      <c r="J2297" s="582"/>
      <c r="K2297" s="583"/>
      <c r="L2297" s="583"/>
      <c r="M2297" s="583"/>
      <c r="N2297" s="589"/>
      <c r="O2297" s="589"/>
    </row>
    <row r="2298" spans="1:15" s="122" customFormat="1">
      <c r="A2298" s="344">
        <f>ORÇAMENTO!A339</f>
        <v>12141</v>
      </c>
      <c r="B2298" s="344" t="str">
        <f>ORÇAMENTO!C339</f>
        <v>14.24</v>
      </c>
      <c r="C2298" s="1014" t="str">
        <f>ORÇAMENTO!D339</f>
        <v>CABO BLINDADO PARA ALARME E DETECÇÃO DE INCÊNCIO 4 X 1,5MM2</v>
      </c>
      <c r="D2298" s="1014"/>
      <c r="E2298" s="1014"/>
      <c r="F2298" s="1014"/>
      <c r="G2298" s="435" t="str">
        <f>ORÇAMENTO!E339</f>
        <v>M</v>
      </c>
      <c r="H2298" s="650">
        <f>SUM(H2299)</f>
        <v>110</v>
      </c>
      <c r="I2298" s="651"/>
      <c r="J2298" s="651"/>
      <c r="K2298" s="652"/>
      <c r="L2298" s="652"/>
      <c r="M2298" s="652"/>
      <c r="N2298" s="699"/>
      <c r="O2298" s="699"/>
    </row>
    <row r="2299" spans="1:15" s="122" customFormat="1">
      <c r="A2299" s="337"/>
      <c r="B2299" s="337"/>
      <c r="C2299" s="1015" t="s">
        <v>2096</v>
      </c>
      <c r="D2299" s="1015"/>
      <c r="E2299" s="1015"/>
      <c r="F2299" s="1015"/>
      <c r="G2299" s="471" t="s">
        <v>246</v>
      </c>
      <c r="H2299" s="613">
        <v>110</v>
      </c>
      <c r="I2299" s="582"/>
      <c r="J2299" s="582"/>
      <c r="K2299" s="583"/>
      <c r="L2299" s="583"/>
      <c r="M2299" s="583"/>
      <c r="N2299" s="589"/>
      <c r="O2299" s="589"/>
    </row>
    <row r="2300" spans="1:15" ht="12.75" customHeight="1">
      <c r="A2300" s="373" t="s">
        <v>11</v>
      </c>
      <c r="B2300" s="375" t="s">
        <v>13</v>
      </c>
      <c r="C2300" s="1007" t="s">
        <v>1443</v>
      </c>
      <c r="D2300" s="1007"/>
      <c r="E2300" s="1007"/>
      <c r="F2300" s="1007"/>
      <c r="G2300" s="375" t="s">
        <v>15</v>
      </c>
      <c r="H2300" s="375" t="s">
        <v>1444</v>
      </c>
      <c r="I2300" s="375" t="s">
        <v>1445</v>
      </c>
      <c r="J2300" s="375" t="s">
        <v>1446</v>
      </c>
      <c r="K2300" s="375" t="s">
        <v>1447</v>
      </c>
      <c r="L2300" s="375" t="s">
        <v>1448</v>
      </c>
      <c r="M2300" s="375" t="s">
        <v>1457</v>
      </c>
      <c r="N2300" s="375" t="s">
        <v>1450</v>
      </c>
      <c r="O2300" s="375" t="s">
        <v>1451</v>
      </c>
    </row>
    <row r="2301" spans="1:15">
      <c r="A2301" s="376"/>
      <c r="B2301" s="376" t="str">
        <f>ORÇAMENTO!C340</f>
        <v>15.00</v>
      </c>
      <c r="C2301" s="1075" t="str">
        <f>ORÇAMENTO!D340</f>
        <v>INSTALAÇÕES ELÉTRICAS, SPDA, CFTV, LOGICA</v>
      </c>
      <c r="D2301" s="1075"/>
      <c r="E2301" s="1075"/>
      <c r="F2301" s="1075"/>
      <c r="G2301" s="472"/>
      <c r="H2301" s="472"/>
      <c r="I2301" s="472"/>
      <c r="J2301" s="472"/>
      <c r="K2301" s="472"/>
      <c r="L2301" s="472"/>
      <c r="M2301" s="472"/>
      <c r="N2301" s="472"/>
      <c r="O2301" s="472"/>
    </row>
    <row r="2302" spans="1:15">
      <c r="A2302" s="376"/>
      <c r="B2302" s="376" t="str">
        <f>ORÇAMENTO!C341</f>
        <v>15.01</v>
      </c>
      <c r="C2302" s="1075" t="str">
        <f>ORÇAMENTO!D341</f>
        <v>SUBESTAÇÃO E ENTRADA DE ENERGIA</v>
      </c>
      <c r="D2302" s="1075"/>
      <c r="E2302" s="1075"/>
      <c r="F2302" s="1075"/>
      <c r="G2302" s="472"/>
      <c r="H2302" s="472"/>
      <c r="I2302" s="472"/>
      <c r="J2302" s="472"/>
      <c r="K2302" s="472"/>
      <c r="L2302" s="472"/>
      <c r="M2302" s="472"/>
      <c r="N2302" s="472"/>
      <c r="O2302" s="472"/>
    </row>
    <row r="2303" spans="1:15" ht="34.5" customHeight="1">
      <c r="A2303" s="377">
        <f>ORÇAMENTO!A342</f>
        <v>91677</v>
      </c>
      <c r="B2303" s="377" t="str">
        <f>ORÇAMENTO!C342</f>
        <v>15.01.01</v>
      </c>
      <c r="C2303" s="1047" t="str">
        <f>ORÇAMENTO!D342</f>
        <v>ENGENHEIRO ELETRICISTA COM ENCARGOS COMPLEMENTARES</v>
      </c>
      <c r="D2303" s="1047"/>
      <c r="E2303" s="1047"/>
      <c r="F2303" s="1047"/>
      <c r="G2303" s="377" t="str">
        <f>ORÇAMENTO!E342</f>
        <v>H</v>
      </c>
      <c r="H2303" s="377">
        <f>H2304</f>
        <v>176</v>
      </c>
      <c r="I2303" s="379"/>
      <c r="J2303" s="377"/>
      <c r="K2303" s="379"/>
      <c r="L2303" s="377"/>
      <c r="M2303" s="379"/>
      <c r="N2303" s="377"/>
      <c r="O2303" s="379"/>
    </row>
    <row r="2304" spans="1:15" ht="12.75" customHeight="1">
      <c r="A2304" s="342"/>
      <c r="B2304" s="342"/>
      <c r="C2304" s="1080" t="s">
        <v>2098</v>
      </c>
      <c r="D2304" s="1080"/>
      <c r="E2304" s="1080"/>
      <c r="F2304" s="1080"/>
      <c r="G2304" s="389"/>
      <c r="H2304" s="617">
        <f>H22</f>
        <v>176</v>
      </c>
      <c r="I2304" s="617"/>
      <c r="J2304" s="617"/>
      <c r="K2304" s="618"/>
      <c r="L2304" s="618"/>
      <c r="M2304" s="618"/>
      <c r="N2304" s="700"/>
      <c r="O2304" s="700"/>
    </row>
    <row r="2305" spans="1:15" ht="28.15" customHeight="1">
      <c r="A2305" s="377">
        <f>ORÇAMENTO!A344</f>
        <v>9686</v>
      </c>
      <c r="B2305" s="377" t="str">
        <f>ORÇAMENTO!C344</f>
        <v>15.01.03</v>
      </c>
      <c r="C2305" s="1047" t="str">
        <f>ORÇAMENTO!D344</f>
        <v>DISJUNTOR TERMOMAGNÉTICO TRIPOLAR 225 A COM CAIXA MOLDADA 10 KA</v>
      </c>
      <c r="D2305" s="1047"/>
      <c r="E2305" s="1047"/>
      <c r="F2305" s="1047"/>
      <c r="G2305" s="377" t="str">
        <f>ORÇAMENTO!E344</f>
        <v xml:space="preserve">UN </v>
      </c>
      <c r="H2305" s="377">
        <f>H2306</f>
        <v>1</v>
      </c>
      <c r="I2305" s="379"/>
      <c r="J2305" s="377"/>
      <c r="K2305" s="379"/>
      <c r="L2305" s="377"/>
      <c r="M2305" s="379"/>
      <c r="N2305" s="377"/>
      <c r="O2305" s="379"/>
    </row>
    <row r="2306" spans="1:15" ht="12.75" customHeight="1">
      <c r="A2306" s="342"/>
      <c r="B2306" s="342"/>
      <c r="C2306" s="1080" t="s">
        <v>2099</v>
      </c>
      <c r="D2306" s="1080"/>
      <c r="E2306" s="1080"/>
      <c r="F2306" s="1080"/>
      <c r="G2306" s="389"/>
      <c r="H2306" s="617">
        <v>1</v>
      </c>
      <c r="I2306" s="617"/>
      <c r="J2306" s="617"/>
      <c r="K2306" s="618"/>
      <c r="L2306" s="618"/>
      <c r="M2306" s="618"/>
      <c r="N2306" s="700"/>
      <c r="O2306" s="700"/>
    </row>
    <row r="2307" spans="1:15" ht="21" customHeight="1">
      <c r="A2307" s="377">
        <f>ORÇAMENTO!A345</f>
        <v>8070</v>
      </c>
      <c r="B2307" s="377" t="str">
        <f>ORÇAMENTO!C345</f>
        <v>15.01.04</v>
      </c>
      <c r="C2307" s="1047" t="str">
        <f>ORÇAMENTO!D345</f>
        <v>CABO DE COBRE ISOLADO EM EPR FLEXÍVEL UNIPOLAR 25MM² - 0,6KV/1KV/90°</v>
      </c>
      <c r="D2307" s="1047"/>
      <c r="E2307" s="1047"/>
      <c r="F2307" s="1047"/>
      <c r="G2307" s="377" t="str">
        <f>ORÇAMENTO!E345</f>
        <v>M</v>
      </c>
      <c r="H2307" s="377">
        <f>H2308*1.2</f>
        <v>28.799999999999997</v>
      </c>
      <c r="I2307" s="379"/>
      <c r="J2307" s="377"/>
      <c r="K2307" s="379"/>
      <c r="L2307" s="377"/>
      <c r="M2307" s="379"/>
      <c r="N2307" s="377"/>
      <c r="O2307" s="379"/>
    </row>
    <row r="2308" spans="1:15" ht="21" customHeight="1">
      <c r="A2308" s="342"/>
      <c r="B2308" s="342"/>
      <c r="C2308" s="1078" t="s">
        <v>2100</v>
      </c>
      <c r="D2308" s="1078"/>
      <c r="E2308" s="1078"/>
      <c r="F2308" s="1078"/>
      <c r="G2308" s="389"/>
      <c r="H2308" s="617">
        <f>20*1.2</f>
        <v>24</v>
      </c>
      <c r="I2308" s="617"/>
      <c r="J2308" s="617"/>
      <c r="K2308" s="618"/>
      <c r="L2308" s="618"/>
      <c r="M2308" s="618"/>
      <c r="N2308" s="700"/>
      <c r="O2308" s="700"/>
    </row>
    <row r="2309" spans="1:15" ht="23.25" customHeight="1">
      <c r="A2309" s="377" t="str">
        <f>ORÇAMENTO!A346</f>
        <v>CP-U-A-14</v>
      </c>
      <c r="B2309" s="377" t="str">
        <f>ORÇAMENTO!C346</f>
        <v>15.01.05</v>
      </c>
      <c r="C2309" s="1047" t="str">
        <f>ORÇAMENTO!D346</f>
        <v>CABO DE ALUMÍNIO BLOQUEADO HEPR (XLPE), RÍGIDO, 50MM², 1KV / 90º C</v>
      </c>
      <c r="D2309" s="1047"/>
      <c r="E2309" s="1047"/>
      <c r="F2309" s="1047"/>
      <c r="G2309" s="377" t="str">
        <f>ORÇAMENTO!E346</f>
        <v>M</v>
      </c>
      <c r="H2309" s="377">
        <f>H2310*1.2</f>
        <v>348</v>
      </c>
      <c r="I2309" s="379"/>
      <c r="J2309" s="377"/>
      <c r="K2309" s="379"/>
      <c r="L2309" s="377"/>
      <c r="M2309" s="379"/>
      <c r="N2309" s="377"/>
      <c r="O2309" s="379"/>
    </row>
    <row r="2310" spans="1:15">
      <c r="A2310" s="342"/>
      <c r="B2310" s="342"/>
      <c r="C2310" s="1078" t="s">
        <v>2100</v>
      </c>
      <c r="D2310" s="1078"/>
      <c r="E2310" s="1078"/>
      <c r="F2310" s="1078"/>
      <c r="G2310" s="389"/>
      <c r="H2310" s="617">
        <v>290</v>
      </c>
      <c r="I2310" s="617"/>
      <c r="J2310" s="617"/>
      <c r="K2310" s="618"/>
      <c r="L2310" s="618"/>
      <c r="M2310" s="618"/>
      <c r="N2310" s="700"/>
      <c r="O2310" s="700"/>
    </row>
    <row r="2311" spans="1:15" ht="24" customHeight="1">
      <c r="A2311" s="377">
        <f>ORÇAMENTO!A347</f>
        <v>7918</v>
      </c>
      <c r="B2311" s="377" t="str">
        <f>ORÇAMENTO!C347</f>
        <v>15.01.06</v>
      </c>
      <c r="C2311" s="1047" t="str">
        <f>ORÇAMENTO!D347</f>
        <v>CABO DE COBRE ISOLADO EM EPR FLEXÍVEL UNIPOLAR 95MM² - 0,6KV/1KV/90°</v>
      </c>
      <c r="D2311" s="1047"/>
      <c r="E2311" s="1047"/>
      <c r="F2311" s="1047"/>
      <c r="G2311" s="377" t="str">
        <f>ORÇAMENTO!E347</f>
        <v>M</v>
      </c>
      <c r="H2311" s="377">
        <f>H2312*1.2</f>
        <v>45.6</v>
      </c>
      <c r="I2311" s="379"/>
      <c r="J2311" s="377"/>
      <c r="K2311" s="379"/>
      <c r="L2311" s="377"/>
      <c r="M2311" s="379"/>
      <c r="N2311" s="377"/>
      <c r="O2311" s="379"/>
    </row>
    <row r="2312" spans="1:15">
      <c r="A2312" s="342"/>
      <c r="B2312" s="342"/>
      <c r="C2312" s="1078" t="s">
        <v>2100</v>
      </c>
      <c r="D2312" s="1078"/>
      <c r="E2312" s="1078"/>
      <c r="F2312" s="1078"/>
      <c r="G2312" s="389"/>
      <c r="H2312" s="617">
        <v>38</v>
      </c>
      <c r="I2312" s="617"/>
      <c r="J2312" s="617"/>
      <c r="K2312" s="618"/>
      <c r="L2312" s="618"/>
      <c r="M2312" s="618"/>
      <c r="N2312" s="700"/>
      <c r="O2312" s="700"/>
    </row>
    <row r="2313" spans="1:15" ht="23.25" customHeight="1">
      <c r="A2313" s="377">
        <f>ORÇAMENTO!A348</f>
        <v>8297</v>
      </c>
      <c r="B2313" s="377" t="str">
        <f>ORÇAMENTO!C348</f>
        <v>15.01.07</v>
      </c>
      <c r="C2313" s="1047" t="str">
        <f>ORÇAMENTO!D348</f>
        <v>CABO DE COBRE NÚ 25 MM2 - FORNECIMENTO E ASSENTAMENTO (4,51M/KG)</v>
      </c>
      <c r="D2313" s="1047"/>
      <c r="E2313" s="1047"/>
      <c r="F2313" s="1047"/>
      <c r="G2313" s="377" t="str">
        <f>ORÇAMENTO!E348</f>
        <v>KG</v>
      </c>
      <c r="H2313" s="395">
        <f>H2314*1.2</f>
        <v>25.543237250554327</v>
      </c>
      <c r="I2313" s="379"/>
      <c r="J2313" s="377"/>
      <c r="K2313" s="379"/>
      <c r="L2313" s="377"/>
      <c r="M2313" s="379"/>
      <c r="N2313" s="377"/>
      <c r="O2313" s="379"/>
    </row>
    <row r="2314" spans="1:15">
      <c r="A2314" s="342"/>
      <c r="B2314" s="342"/>
      <c r="C2314" s="1078" t="s">
        <v>2100</v>
      </c>
      <c r="D2314" s="1078"/>
      <c r="E2314" s="1078"/>
      <c r="F2314" s="1078"/>
      <c r="G2314" s="389"/>
      <c r="H2314" s="588">
        <f>(80*1.2)/4.51</f>
        <v>21.286031042128606</v>
      </c>
      <c r="I2314" s="617"/>
      <c r="J2314" s="617"/>
      <c r="K2314" s="618"/>
      <c r="L2314" s="618"/>
      <c r="M2314" s="618"/>
      <c r="N2314" s="700"/>
      <c r="O2314" s="700"/>
    </row>
    <row r="2315" spans="1:15" ht="23.25" customHeight="1">
      <c r="A2315" s="377" t="str">
        <f>ORÇAMENTO!A349</f>
        <v>COMP/ELE -16</v>
      </c>
      <c r="B2315" s="377" t="str">
        <f>ORÇAMENTO!C349</f>
        <v>15.01.08</v>
      </c>
      <c r="C2315" s="1047" t="str">
        <f>ORÇAMENTO!D349</f>
        <v>CABO DE AÇO ZINCADO A QUENTE SM DIAM=9,5MM</v>
      </c>
      <c r="D2315" s="1047"/>
      <c r="E2315" s="1047"/>
      <c r="F2315" s="1047"/>
      <c r="G2315" s="377" t="str">
        <f>ORÇAMENTO!E349</f>
        <v>M</v>
      </c>
      <c r="H2315" s="377">
        <f>H2316*1.2</f>
        <v>132</v>
      </c>
      <c r="I2315" s="379"/>
      <c r="J2315" s="377"/>
      <c r="K2315" s="379"/>
      <c r="L2315" s="377"/>
      <c r="M2315" s="379"/>
      <c r="N2315" s="377"/>
      <c r="O2315" s="379"/>
    </row>
    <row r="2316" spans="1:15">
      <c r="A2316" s="342"/>
      <c r="B2316" s="342"/>
      <c r="C2316" s="1078" t="s">
        <v>2100</v>
      </c>
      <c r="D2316" s="1078"/>
      <c r="E2316" s="1078"/>
      <c r="F2316" s="1078"/>
      <c r="G2316" s="389"/>
      <c r="H2316" s="617">
        <v>110</v>
      </c>
      <c r="I2316" s="617"/>
      <c r="J2316" s="617"/>
      <c r="K2316" s="618"/>
      <c r="L2316" s="618"/>
      <c r="M2316" s="618"/>
      <c r="N2316" s="700"/>
      <c r="O2316" s="700"/>
    </row>
    <row r="2317" spans="1:15" ht="23.25" customHeight="1">
      <c r="A2317" s="377">
        <f>ORÇAMENTO!A350</f>
        <v>3981</v>
      </c>
      <c r="B2317" s="377" t="str">
        <f>ORÇAMENTO!C350</f>
        <v>15.01.09</v>
      </c>
      <c r="C2317" s="1047" t="str">
        <f>ORÇAMENTO!D350</f>
        <v>CAIXA DE MEDIÇÃO INDIRETA EM ALUMÍNIO - FORNECIMENTO</v>
      </c>
      <c r="D2317" s="1047"/>
      <c r="E2317" s="1047"/>
      <c r="F2317" s="1047"/>
      <c r="G2317" s="377" t="str">
        <f>ORÇAMENTO!E350</f>
        <v xml:space="preserve">UN </v>
      </c>
      <c r="H2317" s="377">
        <f>H2318</f>
        <v>1</v>
      </c>
      <c r="I2317" s="379"/>
      <c r="J2317" s="377"/>
      <c r="K2317" s="379"/>
      <c r="L2317" s="377"/>
      <c r="M2317" s="379"/>
      <c r="N2317" s="377"/>
      <c r="O2317" s="379"/>
    </row>
    <row r="2318" spans="1:15">
      <c r="A2318" s="342"/>
      <c r="B2318" s="342"/>
      <c r="C2318" s="1078" t="s">
        <v>2100</v>
      </c>
      <c r="D2318" s="1078"/>
      <c r="E2318" s="1078"/>
      <c r="F2318" s="1078"/>
      <c r="G2318" s="389"/>
      <c r="H2318" s="617">
        <v>1</v>
      </c>
      <c r="I2318" s="617"/>
      <c r="J2318" s="617"/>
      <c r="K2318" s="618"/>
      <c r="L2318" s="618"/>
      <c r="M2318" s="618"/>
      <c r="N2318" s="700"/>
      <c r="O2318" s="700"/>
    </row>
    <row r="2319" spans="1:15" ht="36.75" customHeight="1">
      <c r="A2319" s="377" t="str">
        <f>ORÇAMENTO!A351</f>
        <v>I-00011821</v>
      </c>
      <c r="B2319" s="377" t="str">
        <f>ORÇAMENTO!C351</f>
        <v>15.01.10</v>
      </c>
      <c r="C2319" s="1047" t="str">
        <f>ORÇAMENTO!D351</f>
        <v>CONECTOR METALICO TIPO PARAFUSO FENDIDO (SPLIT BOLT), COM SEPARADOR DE CABOS BIMETALICOS, PARA CABOS ATE 25 MM²</v>
      </c>
      <c r="D2319" s="1047"/>
      <c r="E2319" s="1047"/>
      <c r="F2319" s="1047"/>
      <c r="G2319" s="377" t="str">
        <f>ORÇAMENTO!E351</f>
        <v xml:space="preserve">UN </v>
      </c>
      <c r="H2319" s="377">
        <f>H2320</f>
        <v>20</v>
      </c>
      <c r="I2319" s="379"/>
      <c r="J2319" s="377"/>
      <c r="K2319" s="379"/>
      <c r="L2319" s="377"/>
      <c r="M2319" s="379"/>
      <c r="N2319" s="377"/>
      <c r="O2319" s="379"/>
    </row>
    <row r="2320" spans="1:15">
      <c r="A2320" s="342"/>
      <c r="B2320" s="342"/>
      <c r="C2320" s="1078" t="s">
        <v>2100</v>
      </c>
      <c r="D2320" s="1078"/>
      <c r="E2320" s="1078"/>
      <c r="F2320" s="1078"/>
      <c r="G2320" s="389"/>
      <c r="H2320" s="617">
        <v>20</v>
      </c>
      <c r="I2320" s="617"/>
      <c r="J2320" s="617"/>
      <c r="K2320" s="618"/>
      <c r="L2320" s="618"/>
      <c r="M2320" s="618"/>
      <c r="N2320" s="700"/>
      <c r="O2320" s="700"/>
    </row>
    <row r="2321" spans="1:15" ht="18" customHeight="1">
      <c r="A2321" s="377">
        <f>ORÇAMENTO!A352</f>
        <v>9379</v>
      </c>
      <c r="B2321" s="377" t="str">
        <f>ORÇAMENTO!C352</f>
        <v>15.01.11</v>
      </c>
      <c r="C2321" s="1047" t="str">
        <f>ORÇAMENTO!D352</f>
        <v>HASTE COBREADA COPPERWELD P/ATERRAMENTO D= 5/8" X 2,40M</v>
      </c>
      <c r="D2321" s="1047"/>
      <c r="E2321" s="1047"/>
      <c r="F2321" s="1047"/>
      <c r="G2321" s="377" t="str">
        <f>ORÇAMENTO!E352</f>
        <v xml:space="preserve">UN </v>
      </c>
      <c r="H2321" s="377">
        <f>H2322</f>
        <v>7</v>
      </c>
      <c r="I2321" s="379"/>
      <c r="J2321" s="377"/>
      <c r="K2321" s="379"/>
      <c r="L2321" s="377"/>
      <c r="M2321" s="379"/>
      <c r="N2321" s="377"/>
      <c r="O2321" s="379"/>
    </row>
    <row r="2322" spans="1:15">
      <c r="A2322" s="342"/>
      <c r="B2322" s="342"/>
      <c r="C2322" s="1078" t="s">
        <v>2100</v>
      </c>
      <c r="D2322" s="1078"/>
      <c r="E2322" s="1078"/>
      <c r="F2322" s="1078"/>
      <c r="G2322" s="389"/>
      <c r="H2322" s="617">
        <v>7</v>
      </c>
      <c r="I2322" s="617"/>
      <c r="J2322" s="617"/>
      <c r="K2322" s="618"/>
      <c r="L2322" s="618"/>
      <c r="M2322" s="618"/>
      <c r="N2322" s="700"/>
      <c r="O2322" s="700"/>
    </row>
    <row r="2323" spans="1:15" ht="18.75" customHeight="1">
      <c r="A2323" s="377" t="str">
        <f>ORÇAMENTO!A353</f>
        <v>I-09691</v>
      </c>
      <c r="B2323" s="377" t="str">
        <f>ORÇAMENTO!C353</f>
        <v>15.01.12</v>
      </c>
      <c r="C2323" s="1047" t="str">
        <f>ORÇAMENTO!D353</f>
        <v>MOLDE DE SOLDA EXOTÉRMICA 5/8</v>
      </c>
      <c r="D2323" s="1047"/>
      <c r="E2323" s="1047"/>
      <c r="F2323" s="1047"/>
      <c r="G2323" s="377" t="str">
        <f>ORÇAMENTO!E353</f>
        <v xml:space="preserve">UN </v>
      </c>
      <c r="H2323" s="377">
        <f>H2324</f>
        <v>1</v>
      </c>
      <c r="I2323" s="379"/>
      <c r="J2323" s="377"/>
      <c r="K2323" s="379"/>
      <c r="L2323" s="377"/>
      <c r="M2323" s="379"/>
      <c r="N2323" s="377"/>
      <c r="O2323" s="379"/>
    </row>
    <row r="2324" spans="1:15">
      <c r="A2324" s="342"/>
      <c r="B2324" s="342"/>
      <c r="C2324" s="1078" t="s">
        <v>2100</v>
      </c>
      <c r="D2324" s="1078"/>
      <c r="E2324" s="1078"/>
      <c r="F2324" s="1078"/>
      <c r="G2324" s="389"/>
      <c r="H2324" s="617">
        <v>1</v>
      </c>
      <c r="I2324" s="617"/>
      <c r="J2324" s="617"/>
      <c r="K2324" s="618"/>
      <c r="L2324" s="618"/>
      <c r="M2324" s="618"/>
      <c r="N2324" s="700"/>
      <c r="O2324" s="700"/>
    </row>
    <row r="2325" spans="1:15" ht="30" customHeight="1">
      <c r="A2325" s="377" t="str">
        <f>ORÇAMENTO!A354</f>
        <v xml:space="preserve">I-10339 </v>
      </c>
      <c r="B2325" s="377" t="str">
        <f>ORÇAMENTO!C354</f>
        <v>15.01.13</v>
      </c>
      <c r="C2325" s="1047" t="str">
        <f>ORÇAMENTO!D354</f>
        <v>MOLDE DE SOLDA EXOTÉRMICA TIPO "X" PARA CABO COBRE NU 50 MM²</v>
      </c>
      <c r="D2325" s="1047"/>
      <c r="E2325" s="1047"/>
      <c r="F2325" s="1047"/>
      <c r="G2325" s="377" t="str">
        <f>ORÇAMENTO!E354</f>
        <v xml:space="preserve">UN </v>
      </c>
      <c r="H2325" s="377">
        <f>H2326</f>
        <v>1</v>
      </c>
      <c r="I2325" s="379"/>
      <c r="J2325" s="377"/>
      <c r="K2325" s="379"/>
      <c r="L2325" s="377"/>
      <c r="M2325" s="379"/>
      <c r="N2325" s="377"/>
      <c r="O2325" s="379"/>
    </row>
    <row r="2326" spans="1:15">
      <c r="A2326" s="342"/>
      <c r="B2326" s="342"/>
      <c r="C2326" s="1078" t="s">
        <v>2100</v>
      </c>
      <c r="D2326" s="1078"/>
      <c r="E2326" s="1078"/>
      <c r="F2326" s="1078"/>
      <c r="G2326" s="389"/>
      <c r="H2326" s="617">
        <v>1</v>
      </c>
      <c r="I2326" s="617"/>
      <c r="J2326" s="617"/>
      <c r="K2326" s="618"/>
      <c r="L2326" s="618"/>
      <c r="M2326" s="618"/>
      <c r="N2326" s="700"/>
      <c r="O2326" s="700"/>
    </row>
    <row r="2327" spans="1:15" ht="31.5" customHeight="1">
      <c r="A2327" s="377">
        <f>ORÇAMENTO!A355</f>
        <v>11730</v>
      </c>
      <c r="B2327" s="377" t="str">
        <f>ORÇAMENTO!C355</f>
        <v>15.01.14</v>
      </c>
      <c r="C2327" s="1047" t="str">
        <f>ORÇAMENTO!D355</f>
        <v>FORNECIMENTO DE CARTUCHO PARA SOLDA EXOTÉRMICA PARA CABO 70 MM²</v>
      </c>
      <c r="D2327" s="1047"/>
      <c r="E2327" s="1047"/>
      <c r="F2327" s="1047"/>
      <c r="G2327" s="377" t="str">
        <f>ORÇAMENTO!E355</f>
        <v xml:space="preserve">UN </v>
      </c>
      <c r="H2327" s="377">
        <f>H2328</f>
        <v>7</v>
      </c>
      <c r="I2327" s="379"/>
      <c r="J2327" s="377"/>
      <c r="K2327" s="379"/>
      <c r="L2327" s="377"/>
      <c r="M2327" s="379"/>
      <c r="N2327" s="377"/>
      <c r="O2327" s="379"/>
    </row>
    <row r="2328" spans="1:15">
      <c r="A2328" s="342"/>
      <c r="B2328" s="342"/>
      <c r="C2328" s="1078" t="s">
        <v>2100</v>
      </c>
      <c r="D2328" s="1078"/>
      <c r="E2328" s="1078"/>
      <c r="F2328" s="1078"/>
      <c r="G2328" s="389"/>
      <c r="H2328" s="617">
        <v>7</v>
      </c>
      <c r="I2328" s="617"/>
      <c r="J2328" s="617"/>
      <c r="K2328" s="618"/>
      <c r="L2328" s="618"/>
      <c r="M2328" s="618"/>
      <c r="N2328" s="700"/>
      <c r="O2328" s="700"/>
    </row>
    <row r="2329" spans="1:15" ht="12.75" customHeight="1">
      <c r="A2329" s="377">
        <f>ORÇAMENTO!A356</f>
        <v>2942</v>
      </c>
      <c r="B2329" s="377" t="str">
        <f>ORÇAMENTO!C356</f>
        <v>15.01.15</v>
      </c>
      <c r="C2329" s="1047" t="str">
        <f>ORÇAMENTO!D356</f>
        <v>POSTE DE CONCRETO DUPLO T (DT) 11/600 - FORNECIMENTO</v>
      </c>
      <c r="D2329" s="1047"/>
      <c r="E2329" s="1047"/>
      <c r="F2329" s="1047"/>
      <c r="G2329" s="377" t="str">
        <f>ORÇAMENTO!E356</f>
        <v xml:space="preserve">UN </v>
      </c>
      <c r="H2329" s="377">
        <f>H2330</f>
        <v>1</v>
      </c>
      <c r="I2329" s="379"/>
      <c r="J2329" s="377"/>
      <c r="K2329" s="379"/>
      <c r="L2329" s="377"/>
      <c r="M2329" s="379"/>
      <c r="N2329" s="377"/>
      <c r="O2329" s="379"/>
    </row>
    <row r="2330" spans="1:15">
      <c r="A2330" s="342"/>
      <c r="B2330" s="342"/>
      <c r="C2330" s="1078" t="s">
        <v>2100</v>
      </c>
      <c r="D2330" s="1078"/>
      <c r="E2330" s="1078"/>
      <c r="F2330" s="1078"/>
      <c r="G2330" s="389"/>
      <c r="H2330" s="617">
        <v>1</v>
      </c>
      <c r="I2330" s="617"/>
      <c r="J2330" s="617"/>
      <c r="K2330" s="618"/>
      <c r="L2330" s="618"/>
      <c r="M2330" s="618"/>
      <c r="N2330" s="700"/>
      <c r="O2330" s="700"/>
    </row>
    <row r="2331" spans="1:15" ht="12.75" customHeight="1">
      <c r="A2331" s="377">
        <f>ORÇAMENTO!A357</f>
        <v>3994</v>
      </c>
      <c r="B2331" s="377" t="str">
        <f>ORÇAMENTO!C357</f>
        <v>15.01.16</v>
      </c>
      <c r="C2331" s="1047" t="str">
        <f>ORÇAMENTO!D357</f>
        <v>POSTE DE CONCRETO DUPLO T (DT) 11/1000 - FORNECIMENTO</v>
      </c>
      <c r="D2331" s="1047"/>
      <c r="E2331" s="1047"/>
      <c r="F2331" s="1047"/>
      <c r="G2331" s="377" t="str">
        <f>ORÇAMENTO!E357</f>
        <v xml:space="preserve">UN </v>
      </c>
      <c r="H2331" s="377">
        <f>H2332</f>
        <v>2</v>
      </c>
      <c r="I2331" s="379"/>
      <c r="J2331" s="377"/>
      <c r="K2331" s="379"/>
      <c r="L2331" s="377"/>
      <c r="M2331" s="379"/>
      <c r="N2331" s="377"/>
      <c r="O2331" s="379"/>
    </row>
    <row r="2332" spans="1:15">
      <c r="A2332" s="342"/>
      <c r="B2332" s="342"/>
      <c r="C2332" s="1078" t="s">
        <v>2100</v>
      </c>
      <c r="D2332" s="1078"/>
      <c r="E2332" s="1078"/>
      <c r="F2332" s="1078"/>
      <c r="G2332" s="389"/>
      <c r="H2332" s="617">
        <v>2</v>
      </c>
      <c r="I2332" s="617"/>
      <c r="J2332" s="617"/>
      <c r="K2332" s="618"/>
      <c r="L2332" s="618"/>
      <c r="M2332" s="618"/>
      <c r="N2332" s="700"/>
      <c r="O2332" s="700"/>
    </row>
    <row r="2333" spans="1:15" ht="33.75" customHeight="1">
      <c r="A2333" s="377">
        <f>ORÇAMENTO!A358</f>
        <v>3243</v>
      </c>
      <c r="B2333" s="377" t="str">
        <f>ORÇAMENTO!C358</f>
        <v>15.01.17</v>
      </c>
      <c r="C2333" s="1047" t="str">
        <f>ORÇAMENTO!D358</f>
        <v>ASSENTAMENTO DE POSTE CIRCULAR DE CONCRETO</v>
      </c>
      <c r="D2333" s="1047"/>
      <c r="E2333" s="1047"/>
      <c r="F2333" s="1047"/>
      <c r="G2333" s="377" t="str">
        <f>ORÇAMENTO!E358</f>
        <v xml:space="preserve">UN </v>
      </c>
      <c r="H2333" s="377">
        <f>H2334</f>
        <v>3</v>
      </c>
      <c r="I2333" s="379"/>
      <c r="J2333" s="377"/>
      <c r="K2333" s="379"/>
      <c r="L2333" s="377"/>
      <c r="M2333" s="379"/>
      <c r="N2333" s="377"/>
      <c r="O2333" s="379"/>
    </row>
    <row r="2334" spans="1:15">
      <c r="A2334" s="342"/>
      <c r="B2334" s="342"/>
      <c r="C2334" s="1078" t="s">
        <v>2100</v>
      </c>
      <c r="D2334" s="1078"/>
      <c r="E2334" s="1078"/>
      <c r="F2334" s="1078"/>
      <c r="G2334" s="389"/>
      <c r="H2334" s="617">
        <v>3</v>
      </c>
      <c r="I2334" s="617"/>
      <c r="J2334" s="617"/>
      <c r="K2334" s="618"/>
      <c r="L2334" s="618"/>
      <c r="M2334" s="618"/>
      <c r="N2334" s="700"/>
      <c r="O2334" s="700"/>
    </row>
    <row r="2335" spans="1:15" ht="42" customHeight="1">
      <c r="A2335" s="377">
        <f>ORÇAMENTO!A359</f>
        <v>2864</v>
      </c>
      <c r="B2335" s="377" t="str">
        <f>ORÇAMENTO!C359</f>
        <v>15.01.18</v>
      </c>
      <c r="C2335" s="1047" t="str">
        <f>ORÇAMENTO!D359</f>
        <v>FORNECIMENTO DE CRUZETA DE CONCRETO "T" 1900MM</v>
      </c>
      <c r="D2335" s="1047"/>
      <c r="E2335" s="1047"/>
      <c r="F2335" s="1047"/>
      <c r="G2335" s="377" t="str">
        <f>ORÇAMENTO!E359</f>
        <v xml:space="preserve">UN </v>
      </c>
      <c r="H2335" s="377">
        <f>H2336</f>
        <v>3</v>
      </c>
      <c r="I2335" s="379"/>
      <c r="J2335" s="377"/>
      <c r="K2335" s="379"/>
      <c r="L2335" s="377"/>
      <c r="M2335" s="379"/>
      <c r="N2335" s="377"/>
      <c r="O2335" s="379"/>
    </row>
    <row r="2336" spans="1:15">
      <c r="A2336" s="342"/>
      <c r="B2336" s="342"/>
      <c r="C2336" s="1078" t="s">
        <v>2100</v>
      </c>
      <c r="D2336" s="1078"/>
      <c r="E2336" s="1078"/>
      <c r="F2336" s="1078"/>
      <c r="G2336" s="389"/>
      <c r="H2336" s="617">
        <v>3</v>
      </c>
      <c r="I2336" s="617"/>
      <c r="J2336" s="617"/>
      <c r="K2336" s="618"/>
      <c r="L2336" s="618"/>
      <c r="M2336" s="618"/>
      <c r="N2336" s="700"/>
      <c r="O2336" s="700"/>
    </row>
    <row r="2337" spans="1:15" ht="30.75" customHeight="1">
      <c r="A2337" s="377">
        <f>ORÇAMENTO!A360</f>
        <v>469</v>
      </c>
      <c r="B2337" s="377" t="str">
        <f>ORÇAMENTO!C360</f>
        <v>15.01.19</v>
      </c>
      <c r="C2337" s="1047" t="str">
        <f>ORÇAMENTO!D360</f>
        <v>CHAVE FUSÍVEL TRIPOLAR 100A - 10KA</v>
      </c>
      <c r="D2337" s="1047"/>
      <c r="E2337" s="1047"/>
      <c r="F2337" s="1047"/>
      <c r="G2337" s="377" t="str">
        <f>ORÇAMENTO!E360</f>
        <v xml:space="preserve">UN </v>
      </c>
      <c r="H2337" s="377">
        <f>H2338</f>
        <v>3</v>
      </c>
      <c r="I2337" s="379"/>
      <c r="J2337" s="377"/>
      <c r="K2337" s="379"/>
      <c r="L2337" s="377"/>
      <c r="M2337" s="379"/>
      <c r="N2337" s="377"/>
      <c r="O2337" s="379"/>
    </row>
    <row r="2338" spans="1:15">
      <c r="A2338" s="342"/>
      <c r="B2338" s="342"/>
      <c r="C2338" s="1078" t="s">
        <v>2100</v>
      </c>
      <c r="D2338" s="1078"/>
      <c r="E2338" s="1078"/>
      <c r="F2338" s="1078"/>
      <c r="G2338" s="389"/>
      <c r="H2338" s="617">
        <v>3</v>
      </c>
      <c r="I2338" s="617"/>
      <c r="J2338" s="617"/>
      <c r="K2338" s="618"/>
      <c r="L2338" s="618"/>
      <c r="M2338" s="618"/>
      <c r="N2338" s="700"/>
      <c r="O2338" s="700"/>
    </row>
    <row r="2339" spans="1:15" ht="12.75" customHeight="1">
      <c r="A2339" s="377" t="str">
        <f>ORÇAMENTO!A361</f>
        <v>COMP/ELE - 08</v>
      </c>
      <c r="B2339" s="377" t="str">
        <f>ORÇAMENTO!C361</f>
        <v>15.01.20</v>
      </c>
      <c r="C2339" s="1047" t="str">
        <f>ORÇAMENTO!D361</f>
        <v>ELO FUSÍVEL 6K</v>
      </c>
      <c r="D2339" s="1047"/>
      <c r="E2339" s="1047"/>
      <c r="F2339" s="1047"/>
      <c r="G2339" s="377" t="str">
        <f>ORÇAMENTO!E361</f>
        <v xml:space="preserve">UN </v>
      </c>
      <c r="H2339" s="377">
        <f>H2340</f>
        <v>3</v>
      </c>
      <c r="I2339" s="379"/>
      <c r="J2339" s="377"/>
      <c r="K2339" s="379"/>
      <c r="L2339" s="377"/>
      <c r="M2339" s="379"/>
      <c r="N2339" s="377"/>
      <c r="O2339" s="379"/>
    </row>
    <row r="2340" spans="1:15">
      <c r="A2340" s="342"/>
      <c r="B2340" s="342"/>
      <c r="C2340" s="1078" t="s">
        <v>2100</v>
      </c>
      <c r="D2340" s="1078"/>
      <c r="E2340" s="1078"/>
      <c r="F2340" s="1078"/>
      <c r="G2340" s="389"/>
      <c r="H2340" s="617">
        <v>3</v>
      </c>
      <c r="I2340" s="617"/>
      <c r="J2340" s="617"/>
      <c r="K2340" s="618"/>
      <c r="L2340" s="618"/>
      <c r="M2340" s="618"/>
      <c r="N2340" s="700"/>
      <c r="O2340" s="700"/>
    </row>
    <row r="2341" spans="1:15" ht="46.5" customHeight="1">
      <c r="A2341" s="377">
        <f>ORÇAMENTO!A362</f>
        <v>9915</v>
      </c>
      <c r="B2341" s="377" t="str">
        <f>ORÇAMENTO!C362</f>
        <v>15.01.21</v>
      </c>
      <c r="C2341" s="1047" t="str">
        <f>ORÇAMENTO!D362</f>
        <v>FORNECIMENTO E INSTALAÇÃO DE PÁRA-RAIO DE DISTRIBUIÇÃO POLIMÉRICO 12KV, C/ DESLIGAMENTO AUTOMÁTICO, RESIST. NÃO LINEAR</v>
      </c>
      <c r="D2341" s="1047"/>
      <c r="E2341" s="1047"/>
      <c r="F2341" s="1047"/>
      <c r="G2341" s="377" t="str">
        <f>ORÇAMENTO!E362</f>
        <v xml:space="preserve">UN </v>
      </c>
      <c r="H2341" s="377">
        <f>H2342</f>
        <v>3</v>
      </c>
      <c r="I2341" s="379"/>
      <c r="J2341" s="377"/>
      <c r="K2341" s="379"/>
      <c r="L2341" s="377"/>
      <c r="M2341" s="379"/>
      <c r="N2341" s="377"/>
      <c r="O2341" s="379"/>
    </row>
    <row r="2342" spans="1:15">
      <c r="A2342" s="342"/>
      <c r="B2342" s="342"/>
      <c r="C2342" s="1078" t="s">
        <v>2100</v>
      </c>
      <c r="D2342" s="1078"/>
      <c r="E2342" s="1078"/>
      <c r="F2342" s="1078"/>
      <c r="G2342" s="389"/>
      <c r="H2342" s="617">
        <v>3</v>
      </c>
      <c r="I2342" s="617"/>
      <c r="J2342" s="617"/>
      <c r="K2342" s="618"/>
      <c r="L2342" s="618"/>
      <c r="M2342" s="618"/>
      <c r="N2342" s="700"/>
      <c r="O2342" s="700"/>
    </row>
    <row r="2343" spans="1:15" ht="37.5" customHeight="1">
      <c r="A2343" s="377">
        <f>ORÇAMENTO!A363</f>
        <v>2885</v>
      </c>
      <c r="B2343" s="377" t="str">
        <f>ORÇAMENTO!C363</f>
        <v>15.01.22</v>
      </c>
      <c r="C2343" s="1047" t="str">
        <f>ORÇAMENTO!D363</f>
        <v>FORNECIMENTO DE GRAMPO DE LINHA VIVA 6 A 250 MCM, RAMAL 8 A 2/0 AWG</v>
      </c>
      <c r="D2343" s="1047"/>
      <c r="E2343" s="1047"/>
      <c r="F2343" s="1047"/>
      <c r="G2343" s="377" t="str">
        <f>ORÇAMENTO!E363</f>
        <v xml:space="preserve">UN </v>
      </c>
      <c r="H2343" s="377">
        <f>H2344</f>
        <v>9</v>
      </c>
      <c r="I2343" s="379"/>
      <c r="J2343" s="377"/>
      <c r="K2343" s="379"/>
      <c r="L2343" s="377"/>
      <c r="M2343" s="379"/>
      <c r="N2343" s="377"/>
      <c r="O2343" s="379"/>
    </row>
    <row r="2344" spans="1:15">
      <c r="A2344" s="342"/>
      <c r="B2344" s="342"/>
      <c r="C2344" s="1078" t="s">
        <v>2100</v>
      </c>
      <c r="D2344" s="1078"/>
      <c r="E2344" s="1078"/>
      <c r="F2344" s="1078"/>
      <c r="G2344" s="389"/>
      <c r="H2344" s="617">
        <v>9</v>
      </c>
      <c r="I2344" s="617"/>
      <c r="J2344" s="617"/>
      <c r="K2344" s="618"/>
      <c r="L2344" s="618"/>
      <c r="M2344" s="618"/>
      <c r="N2344" s="700"/>
      <c r="O2344" s="700"/>
    </row>
    <row r="2345" spans="1:15" ht="31.5" customHeight="1">
      <c r="A2345" s="377">
        <f>ORÇAMENTO!A364</f>
        <v>2833</v>
      </c>
      <c r="B2345" s="377" t="str">
        <f>ORÇAMENTO!C364</f>
        <v>15.01.23</v>
      </c>
      <c r="C2345" s="1047" t="str">
        <f>ORÇAMENTO!D364</f>
        <v>FORNECIMENTO DE ALÇA PREFORMADA PARA ESTAI 9,5MM MR</v>
      </c>
      <c r="D2345" s="1047"/>
      <c r="E2345" s="1047"/>
      <c r="F2345" s="1047"/>
      <c r="G2345" s="377" t="str">
        <f>ORÇAMENTO!E364</f>
        <v xml:space="preserve">UN </v>
      </c>
      <c r="H2345" s="377">
        <f>H2346</f>
        <v>12</v>
      </c>
      <c r="I2345" s="379"/>
      <c r="J2345" s="377"/>
      <c r="K2345" s="379"/>
      <c r="L2345" s="377"/>
      <c r="M2345" s="379"/>
      <c r="N2345" s="377"/>
      <c r="O2345" s="379"/>
    </row>
    <row r="2346" spans="1:15">
      <c r="A2346" s="342"/>
      <c r="B2346" s="342"/>
      <c r="C2346" s="1078" t="s">
        <v>2100</v>
      </c>
      <c r="D2346" s="1078"/>
      <c r="E2346" s="1078"/>
      <c r="F2346" s="1078"/>
      <c r="G2346" s="389"/>
      <c r="H2346" s="617">
        <v>12</v>
      </c>
      <c r="I2346" s="617"/>
      <c r="J2346" s="617"/>
      <c r="K2346" s="618"/>
      <c r="L2346" s="618"/>
      <c r="M2346" s="618"/>
      <c r="N2346" s="700"/>
      <c r="O2346" s="700"/>
    </row>
    <row r="2347" spans="1:15" ht="58.5" customHeight="1">
      <c r="A2347" s="377" t="str">
        <f>ORÇAMENTO!A365</f>
        <v>I-10609</v>
      </c>
      <c r="B2347" s="377" t="str">
        <f>ORÇAMENTO!C365</f>
        <v>15.01.24</v>
      </c>
      <c r="C2347" s="1047" t="str">
        <f>ORÇAMENTO!D365</f>
        <v>CONECTOR CUNHA COM CAPA DE PROTEÇÃO - CLASSE DE TENSÃO 15KV - EM LIGA DE ALUMÍNIO PARA CONDUTORES ISOLADOS DE 70MM/35MM - 50MM/50MM</v>
      </c>
      <c r="D2347" s="1047"/>
      <c r="E2347" s="1047"/>
      <c r="F2347" s="1047"/>
      <c r="G2347" s="377" t="str">
        <f>ORÇAMENTO!E365</f>
        <v xml:space="preserve">UN </v>
      </c>
      <c r="H2347" s="377">
        <f>H2348</f>
        <v>9</v>
      </c>
      <c r="I2347" s="379"/>
      <c r="J2347" s="377"/>
      <c r="K2347" s="379"/>
      <c r="L2347" s="377"/>
      <c r="M2347" s="379"/>
      <c r="N2347" s="377"/>
      <c r="O2347" s="379"/>
    </row>
    <row r="2348" spans="1:15">
      <c r="A2348" s="342"/>
      <c r="B2348" s="342"/>
      <c r="C2348" s="1078" t="s">
        <v>2100</v>
      </c>
      <c r="D2348" s="1078"/>
      <c r="E2348" s="1078"/>
      <c r="F2348" s="1078"/>
      <c r="G2348" s="389"/>
      <c r="H2348" s="617">
        <v>9</v>
      </c>
      <c r="I2348" s="617"/>
      <c r="J2348" s="617"/>
      <c r="K2348" s="618"/>
      <c r="L2348" s="618"/>
      <c r="M2348" s="618"/>
      <c r="N2348" s="700"/>
      <c r="O2348" s="700"/>
    </row>
    <row r="2349" spans="1:15" ht="48" customHeight="1">
      <c r="A2349" s="377">
        <f>ORÇAMENTO!A366</f>
        <v>3467</v>
      </c>
      <c r="B2349" s="377" t="str">
        <f>ORÇAMENTO!C366</f>
        <v>15.01.25</v>
      </c>
      <c r="C2349" s="1047" t="str">
        <f>ORÇAMENTO!D366</f>
        <v>FORNECIMENTO E INSTALAÇÃO DE ISOLADOR DE DISCO POLIMÉRICO 15 KV</v>
      </c>
      <c r="D2349" s="1047"/>
      <c r="E2349" s="1047"/>
      <c r="F2349" s="1047"/>
      <c r="G2349" s="377" t="str">
        <f>ORÇAMENTO!E366</f>
        <v xml:space="preserve">UN </v>
      </c>
      <c r="H2349" s="377">
        <f>H2350</f>
        <v>8</v>
      </c>
      <c r="I2349" s="379"/>
      <c r="J2349" s="377"/>
      <c r="K2349" s="379"/>
      <c r="L2349" s="377"/>
      <c r="M2349" s="379"/>
      <c r="N2349" s="377"/>
      <c r="O2349" s="379"/>
    </row>
    <row r="2350" spans="1:15">
      <c r="A2350" s="342"/>
      <c r="B2350" s="342"/>
      <c r="C2350" s="1078" t="s">
        <v>2100</v>
      </c>
      <c r="D2350" s="1078"/>
      <c r="E2350" s="1078"/>
      <c r="F2350" s="1078"/>
      <c r="G2350" s="389"/>
      <c r="H2350" s="617">
        <v>8</v>
      </c>
      <c r="I2350" s="617"/>
      <c r="J2350" s="617"/>
      <c r="K2350" s="618"/>
      <c r="L2350" s="618"/>
      <c r="M2350" s="618"/>
      <c r="N2350" s="700"/>
      <c r="O2350" s="700"/>
    </row>
    <row r="2351" spans="1:15" ht="28.15" customHeight="1">
      <c r="A2351" s="377">
        <f>ORÇAMENTO!A367</f>
        <v>2933</v>
      </c>
      <c r="B2351" s="377" t="str">
        <f>ORÇAMENTO!C367</f>
        <v>15.01.26</v>
      </c>
      <c r="C2351" s="1047" t="str">
        <f>ORÇAMENTO!D367</f>
        <v>FORNECIMENTO DE PINO P/ ISOLADOR 15KV, 294MM</v>
      </c>
      <c r="D2351" s="1047"/>
      <c r="E2351" s="1047"/>
      <c r="F2351" s="1047"/>
      <c r="G2351" s="377" t="str">
        <f>ORÇAMENTO!E367</f>
        <v xml:space="preserve">UN </v>
      </c>
      <c r="H2351" s="377">
        <f>H2352</f>
        <v>8</v>
      </c>
      <c r="I2351" s="379"/>
      <c r="J2351" s="377"/>
      <c r="K2351" s="379"/>
      <c r="L2351" s="377"/>
      <c r="M2351" s="379"/>
      <c r="N2351" s="377"/>
      <c r="O2351" s="379"/>
    </row>
    <row r="2352" spans="1:15">
      <c r="A2352" s="342"/>
      <c r="B2352" s="342"/>
      <c r="C2352" s="1078" t="s">
        <v>2100</v>
      </c>
      <c r="D2352" s="1078"/>
      <c r="E2352" s="1078"/>
      <c r="F2352" s="1078"/>
      <c r="G2352" s="389"/>
      <c r="H2352" s="617">
        <v>8</v>
      </c>
      <c r="I2352" s="617"/>
      <c r="J2352" s="617"/>
      <c r="K2352" s="618"/>
      <c r="L2352" s="618"/>
      <c r="M2352" s="618"/>
      <c r="N2352" s="700"/>
      <c r="O2352" s="700"/>
    </row>
    <row r="2353" spans="1:15" ht="41.45" customHeight="1">
      <c r="A2353" s="377">
        <f>ORÇAMENTO!A368</f>
        <v>7380</v>
      </c>
      <c r="B2353" s="377" t="str">
        <f>ORÇAMENTO!C368</f>
        <v>15.01.27</v>
      </c>
      <c r="C2353" s="1047" t="str">
        <f>ORÇAMENTO!D368</f>
        <v>FORNECIMENTO E INSTALÇÃO DE ISOLADOR SUPORTE PEDESTAL DE USO INTERNO COM PRENSA FIO, EM PORCELANA TIPO PILAR COR BRANCA, CLASSE TENSÃO 15 KV</v>
      </c>
      <c r="D2353" s="1047"/>
      <c r="E2353" s="1047"/>
      <c r="F2353" s="1047"/>
      <c r="G2353" s="377" t="str">
        <f>ORÇAMENTO!E368</f>
        <v xml:space="preserve">UN </v>
      </c>
      <c r="H2353" s="377">
        <f>H2354</f>
        <v>18</v>
      </c>
      <c r="I2353" s="379"/>
      <c r="J2353" s="377"/>
      <c r="K2353" s="379"/>
      <c r="L2353" s="377"/>
      <c r="M2353" s="379"/>
      <c r="N2353" s="377"/>
      <c r="O2353" s="379"/>
    </row>
    <row r="2354" spans="1:15">
      <c r="A2354" s="342"/>
      <c r="B2354" s="342"/>
      <c r="C2354" s="1078" t="s">
        <v>2100</v>
      </c>
      <c r="D2354" s="1078"/>
      <c r="E2354" s="1078"/>
      <c r="F2354" s="1078"/>
      <c r="G2354" s="389"/>
      <c r="H2354" s="617">
        <v>18</v>
      </c>
      <c r="I2354" s="617"/>
      <c r="J2354" s="617"/>
      <c r="K2354" s="618"/>
      <c r="L2354" s="618"/>
      <c r="M2354" s="618"/>
      <c r="N2354" s="700"/>
      <c r="O2354" s="700"/>
    </row>
    <row r="2355" spans="1:15" ht="40.9" customHeight="1">
      <c r="A2355" s="377" t="str">
        <f>ORÇAMENTO!A369</f>
        <v xml:space="preserve">I-10630 </v>
      </c>
      <c r="B2355" s="377" t="str">
        <f>ORÇAMENTO!C369</f>
        <v>15.01.28</v>
      </c>
      <c r="C2355" s="1047" t="str">
        <f>ORÇAMENTO!D369</f>
        <v>GRAMPO DE ANCORAGEM EM ALUMÍNIO FUNDIDO E CUNHA EM POLIAMIDA E ESTRIBO OU ALÇA EM AÇO INOXIDÁVEL PARA CABO PROTEGIDO DE 50MM² - CLASSE DE TENSÃO 15KV</v>
      </c>
      <c r="D2355" s="1047"/>
      <c r="E2355" s="1047"/>
      <c r="F2355" s="1047"/>
      <c r="G2355" s="377" t="str">
        <f>ORÇAMENTO!E369</f>
        <v xml:space="preserve">UN </v>
      </c>
      <c r="H2355" s="377">
        <f>H2356</f>
        <v>18</v>
      </c>
      <c r="I2355" s="379"/>
      <c r="J2355" s="377"/>
      <c r="K2355" s="379"/>
      <c r="L2355" s="377"/>
      <c r="M2355" s="379"/>
      <c r="N2355" s="377"/>
      <c r="O2355" s="379"/>
    </row>
    <row r="2356" spans="1:15">
      <c r="A2356" s="342"/>
      <c r="B2356" s="342"/>
      <c r="C2356" s="1078" t="s">
        <v>2100</v>
      </c>
      <c r="D2356" s="1078"/>
      <c r="E2356" s="1078"/>
      <c r="F2356" s="1078"/>
      <c r="G2356" s="389"/>
      <c r="H2356" s="617">
        <v>18</v>
      </c>
      <c r="I2356" s="617"/>
      <c r="J2356" s="617"/>
      <c r="K2356" s="618"/>
      <c r="L2356" s="618"/>
      <c r="M2356" s="618"/>
      <c r="N2356" s="700"/>
      <c r="O2356" s="700"/>
    </row>
    <row r="2357" spans="1:15" ht="26.25" customHeight="1">
      <c r="A2357" s="377">
        <f>ORÇAMENTO!A370</f>
        <v>4135</v>
      </c>
      <c r="B2357" s="377" t="str">
        <f>ORÇAMENTO!C370</f>
        <v>15.01.29</v>
      </c>
      <c r="C2357" s="1047" t="str">
        <f>ORÇAMENTO!D370</f>
        <v>GANCHO SUSPENSÃO COM OLHAL, FORNECIMENTO</v>
      </c>
      <c r="D2357" s="1047"/>
      <c r="E2357" s="1047"/>
      <c r="F2357" s="1047"/>
      <c r="G2357" s="377" t="str">
        <f>ORÇAMENTO!E370</f>
        <v xml:space="preserve">UN </v>
      </c>
      <c r="H2357" s="377">
        <f>H2358</f>
        <v>18</v>
      </c>
      <c r="I2357" s="379"/>
      <c r="J2357" s="377"/>
      <c r="K2357" s="379"/>
      <c r="L2357" s="377"/>
      <c r="M2357" s="379"/>
      <c r="N2357" s="377"/>
      <c r="O2357" s="379"/>
    </row>
    <row r="2358" spans="1:15">
      <c r="A2358" s="342"/>
      <c r="B2358" s="342"/>
      <c r="C2358" s="1078" t="s">
        <v>2100</v>
      </c>
      <c r="D2358" s="1078"/>
      <c r="E2358" s="1078"/>
      <c r="F2358" s="1078"/>
      <c r="G2358" s="389"/>
      <c r="H2358" s="617">
        <v>18</v>
      </c>
      <c r="I2358" s="617"/>
      <c r="J2358" s="617"/>
      <c r="K2358" s="618"/>
      <c r="L2358" s="618"/>
      <c r="M2358" s="618"/>
      <c r="N2358" s="700"/>
      <c r="O2358" s="700"/>
    </row>
    <row r="2359" spans="1:15" ht="21" customHeight="1">
      <c r="A2359" s="377">
        <f>ORÇAMENTO!A371</f>
        <v>2934</v>
      </c>
      <c r="B2359" s="377" t="str">
        <f>ORÇAMENTO!C371</f>
        <v>15.01.30</v>
      </c>
      <c r="C2359" s="1047" t="str">
        <f>ORÇAMENTO!D371</f>
        <v>FORNECIMENTO DE PORCA OLHAL</v>
      </c>
      <c r="D2359" s="1047"/>
      <c r="E2359" s="1047"/>
      <c r="F2359" s="1047"/>
      <c r="G2359" s="377" t="str">
        <f>ORÇAMENTO!E371</f>
        <v xml:space="preserve">UN </v>
      </c>
      <c r="H2359" s="377">
        <f>H2360</f>
        <v>22</v>
      </c>
      <c r="I2359" s="379"/>
      <c r="J2359" s="377"/>
      <c r="K2359" s="379"/>
      <c r="L2359" s="377"/>
      <c r="M2359" s="379"/>
      <c r="N2359" s="377"/>
      <c r="O2359" s="379"/>
    </row>
    <row r="2360" spans="1:15">
      <c r="A2360" s="342"/>
      <c r="B2360" s="342"/>
      <c r="C2360" s="1078" t="s">
        <v>2100</v>
      </c>
      <c r="D2360" s="1078"/>
      <c r="E2360" s="1078"/>
      <c r="F2360" s="1078"/>
      <c r="G2360" s="389"/>
      <c r="H2360" s="617">
        <v>22</v>
      </c>
      <c r="I2360" s="617"/>
      <c r="J2360" s="617"/>
      <c r="K2360" s="618"/>
      <c r="L2360" s="618"/>
      <c r="M2360" s="618"/>
      <c r="N2360" s="700"/>
      <c r="O2360" s="700"/>
    </row>
    <row r="2361" spans="1:15" ht="12.75" customHeight="1">
      <c r="A2361" s="377">
        <f>ORÇAMENTO!A372</f>
        <v>4136</v>
      </c>
      <c r="B2361" s="377" t="str">
        <f>ORÇAMENTO!C372</f>
        <v>15.01.31</v>
      </c>
      <c r="C2361" s="1047" t="str">
        <f>ORÇAMENTO!D372</f>
        <v>MANILHA SAPATILHA PREFORMADA, FORNECIMENTO</v>
      </c>
      <c r="D2361" s="1047"/>
      <c r="E2361" s="1047"/>
      <c r="F2361" s="1047"/>
      <c r="G2361" s="377" t="str">
        <f>ORÇAMENTO!E372</f>
        <v xml:space="preserve">UN </v>
      </c>
      <c r="H2361" s="377">
        <f>H2362</f>
        <v>20</v>
      </c>
      <c r="I2361" s="379"/>
      <c r="J2361" s="377"/>
      <c r="K2361" s="379"/>
      <c r="L2361" s="377"/>
      <c r="M2361" s="379"/>
      <c r="N2361" s="377"/>
      <c r="O2361" s="379"/>
    </row>
    <row r="2362" spans="1:15" ht="17.25" customHeight="1">
      <c r="A2362" s="342"/>
      <c r="B2362" s="342"/>
      <c r="C2362" s="1078" t="s">
        <v>2100</v>
      </c>
      <c r="D2362" s="1078"/>
      <c r="E2362" s="1078"/>
      <c r="F2362" s="1078"/>
      <c r="G2362" s="389"/>
      <c r="H2362" s="617">
        <f>18+2</f>
        <v>20</v>
      </c>
      <c r="I2362" s="617"/>
      <c r="J2362" s="617"/>
      <c r="K2362" s="618"/>
      <c r="L2362" s="618"/>
      <c r="M2362" s="618"/>
      <c r="N2362" s="700"/>
      <c r="O2362" s="700"/>
    </row>
    <row r="2363" spans="1:15">
      <c r="A2363" s="377">
        <f>ORÇAMENTO!A373</f>
        <v>2953</v>
      </c>
      <c r="B2363" s="377" t="str">
        <f>ORÇAMENTO!C373</f>
        <v>15.01.32</v>
      </c>
      <c r="C2363" s="1047" t="str">
        <f>ORÇAMENTO!D373</f>
        <v>FORNECIMENTO DE SAPATILHA P/ CABO DE AÇO ATÉ 9,5MM</v>
      </c>
      <c r="D2363" s="1047"/>
      <c r="E2363" s="1047"/>
      <c r="F2363" s="1047"/>
      <c r="G2363" s="377" t="str">
        <f>ORÇAMENTO!E373</f>
        <v xml:space="preserve">UN </v>
      </c>
      <c r="H2363" s="377">
        <f>H2364</f>
        <v>6</v>
      </c>
      <c r="I2363" s="379"/>
      <c r="J2363" s="377"/>
      <c r="K2363" s="379"/>
      <c r="L2363" s="377"/>
      <c r="M2363" s="379"/>
      <c r="N2363" s="377"/>
      <c r="O2363" s="379"/>
    </row>
    <row r="2364" spans="1:15" ht="17.25" customHeight="1">
      <c r="A2364" s="342"/>
      <c r="B2364" s="342"/>
      <c r="C2364" s="1078" t="s">
        <v>2100</v>
      </c>
      <c r="D2364" s="1078"/>
      <c r="E2364" s="1078"/>
      <c r="F2364" s="1078"/>
      <c r="G2364" s="389"/>
      <c r="H2364" s="617">
        <v>6</v>
      </c>
      <c r="I2364" s="617"/>
      <c r="J2364" s="617"/>
      <c r="K2364" s="618"/>
      <c r="L2364" s="618"/>
      <c r="M2364" s="618"/>
      <c r="N2364" s="700"/>
      <c r="O2364" s="700"/>
    </row>
    <row r="2365" spans="1:15">
      <c r="A2365" s="377" t="str">
        <f>ORÇAMENTO!A374</f>
        <v>I-04655</v>
      </c>
      <c r="B2365" s="377" t="str">
        <f>ORÇAMENTO!C374</f>
        <v>15.01.33</v>
      </c>
      <c r="C2365" s="1047" t="str">
        <f>ORÇAMENTO!D374</f>
        <v>ESPAÇADOR LOSANGULAR 15KV</v>
      </c>
      <c r="D2365" s="1047"/>
      <c r="E2365" s="1047"/>
      <c r="F2365" s="1047"/>
      <c r="G2365" s="377" t="str">
        <f>ORÇAMENTO!E374</f>
        <v xml:space="preserve">UN </v>
      </c>
      <c r="H2365" s="377">
        <f>H2366</f>
        <v>9</v>
      </c>
      <c r="I2365" s="379"/>
      <c r="J2365" s="377"/>
      <c r="K2365" s="379"/>
      <c r="L2365" s="377"/>
      <c r="M2365" s="379"/>
      <c r="N2365" s="377"/>
      <c r="O2365" s="379"/>
    </row>
    <row r="2366" spans="1:15" ht="18" customHeight="1">
      <c r="A2366" s="342"/>
      <c r="B2366" s="342"/>
      <c r="C2366" s="1078" t="s">
        <v>2100</v>
      </c>
      <c r="D2366" s="1078"/>
      <c r="E2366" s="1078"/>
      <c r="F2366" s="1078"/>
      <c r="G2366" s="389"/>
      <c r="H2366" s="617">
        <v>9</v>
      </c>
      <c r="I2366" s="617"/>
      <c r="J2366" s="617"/>
      <c r="K2366" s="618"/>
      <c r="L2366" s="618"/>
      <c r="M2366" s="618"/>
      <c r="N2366" s="700"/>
      <c r="O2366" s="700"/>
    </row>
    <row r="2367" spans="1:15" ht="12.75" customHeight="1">
      <c r="A2367" s="373" t="s">
        <v>11</v>
      </c>
      <c r="B2367" s="375" t="s">
        <v>13</v>
      </c>
      <c r="C2367" s="1007" t="s">
        <v>1443</v>
      </c>
      <c r="D2367" s="1007"/>
      <c r="E2367" s="1007"/>
      <c r="F2367" s="1007"/>
      <c r="G2367" s="375" t="s">
        <v>15</v>
      </c>
      <c r="H2367" s="375" t="s">
        <v>1444</v>
      </c>
      <c r="I2367" s="375" t="s">
        <v>1445</v>
      </c>
      <c r="J2367" s="375" t="s">
        <v>1446</v>
      </c>
      <c r="K2367" s="375" t="s">
        <v>1447</v>
      </c>
      <c r="L2367" s="375" t="s">
        <v>1448</v>
      </c>
      <c r="M2367" s="375" t="s">
        <v>1457</v>
      </c>
      <c r="N2367" s="375" t="s">
        <v>1450</v>
      </c>
      <c r="O2367" s="375" t="s">
        <v>1451</v>
      </c>
    </row>
    <row r="2368" spans="1:15" ht="31.5" customHeight="1">
      <c r="A2368" s="377" t="str">
        <f>ORÇAMENTO!A375</f>
        <v>I-01696</v>
      </c>
      <c r="B2368" s="377" t="str">
        <f>ORÇAMENTO!C375</f>
        <v>15.01.34</v>
      </c>
      <c r="C2368" s="1047" t="str">
        <f>ORÇAMENTO!D375</f>
        <v>PARAFUSO MÁQUINA 16 X 400MM</v>
      </c>
      <c r="D2368" s="1047"/>
      <c r="E2368" s="1047"/>
      <c r="F2368" s="1047"/>
      <c r="G2368" s="377" t="str">
        <f>ORÇAMENTO!E375</f>
        <v xml:space="preserve">UN </v>
      </c>
      <c r="H2368" s="377">
        <f>H2369</f>
        <v>1</v>
      </c>
      <c r="I2368" s="379"/>
      <c r="J2368" s="377"/>
      <c r="K2368" s="379"/>
      <c r="L2368" s="377"/>
      <c r="M2368" s="379"/>
      <c r="N2368" s="377"/>
      <c r="O2368" s="379"/>
    </row>
    <row r="2369" spans="1:15">
      <c r="A2369" s="342"/>
      <c r="B2369" s="342"/>
      <c r="C2369" s="1078" t="s">
        <v>2100</v>
      </c>
      <c r="D2369" s="1078"/>
      <c r="E2369" s="1078"/>
      <c r="F2369" s="1078"/>
      <c r="G2369" s="389"/>
      <c r="H2369" s="617">
        <v>1</v>
      </c>
      <c r="I2369" s="617"/>
      <c r="J2369" s="617"/>
      <c r="K2369" s="618"/>
      <c r="L2369" s="618"/>
      <c r="M2369" s="618"/>
      <c r="N2369" s="700"/>
      <c r="O2369" s="700"/>
    </row>
    <row r="2370" spans="1:15" ht="21" customHeight="1">
      <c r="A2370" s="377" t="str">
        <f>ORÇAMENTO!A376</f>
        <v>I-03455</v>
      </c>
      <c r="B2370" s="377" t="str">
        <f>ORÇAMENTO!C376</f>
        <v>15.01.35</v>
      </c>
      <c r="C2370" s="1047" t="str">
        <f>ORÇAMENTO!D376</f>
        <v>PARAFUSO MÁQUINA 16 X 300MM</v>
      </c>
      <c r="D2370" s="1047"/>
      <c r="E2370" s="1047"/>
      <c r="F2370" s="1047"/>
      <c r="G2370" s="377" t="str">
        <f>ORÇAMENTO!E376</f>
        <v xml:space="preserve">UN </v>
      </c>
      <c r="H2370" s="377">
        <f>H2371</f>
        <v>6</v>
      </c>
      <c r="I2370" s="379"/>
      <c r="J2370" s="377"/>
      <c r="K2370" s="379"/>
      <c r="L2370" s="377"/>
      <c r="M2370" s="379"/>
      <c r="N2370" s="377"/>
      <c r="O2370" s="379"/>
    </row>
    <row r="2371" spans="1:15">
      <c r="A2371" s="342"/>
      <c r="B2371" s="342"/>
      <c r="C2371" s="1078" t="s">
        <v>2100</v>
      </c>
      <c r="D2371" s="1078"/>
      <c r="E2371" s="1078"/>
      <c r="F2371" s="1078"/>
      <c r="G2371" s="389"/>
      <c r="H2371" s="617">
        <v>6</v>
      </c>
      <c r="I2371" s="617"/>
      <c r="J2371" s="617"/>
      <c r="K2371" s="618"/>
      <c r="L2371" s="618"/>
      <c r="M2371" s="618"/>
      <c r="N2371" s="700"/>
      <c r="O2371" s="700"/>
    </row>
    <row r="2372" spans="1:15" ht="30" customHeight="1">
      <c r="A2372" s="377" t="str">
        <f>ORÇAMENTO!A377</f>
        <v>I-00000431</v>
      </c>
      <c r="B2372" s="377" t="str">
        <f>ORÇAMENTO!C377</f>
        <v>15.01.36</v>
      </c>
      <c r="C2372" s="1047" t="str">
        <f>ORÇAMENTO!D377</f>
        <v>PARAFUSO M16 EM ACO GALVANIZADO, COMPRIMENTO = 200 MM, DIAMETRO = 16 MM, ROSCA MAQUINA, CABECA QUADRADA</v>
      </c>
      <c r="D2372" s="1047"/>
      <c r="E2372" s="1047"/>
      <c r="F2372" s="1047"/>
      <c r="G2372" s="377" t="str">
        <f>ORÇAMENTO!E377</f>
        <v xml:space="preserve">UN </v>
      </c>
      <c r="H2372" s="377">
        <f>H2373</f>
        <v>6</v>
      </c>
      <c r="I2372" s="379"/>
      <c r="J2372" s="377"/>
      <c r="K2372" s="379"/>
      <c r="L2372" s="377"/>
      <c r="M2372" s="379"/>
      <c r="N2372" s="377"/>
      <c r="O2372" s="379"/>
    </row>
    <row r="2373" spans="1:15">
      <c r="A2373" s="342"/>
      <c r="B2373" s="342"/>
      <c r="C2373" s="1078" t="s">
        <v>2100</v>
      </c>
      <c r="D2373" s="1078"/>
      <c r="E2373" s="1078"/>
      <c r="F2373" s="1078"/>
      <c r="G2373" s="389"/>
      <c r="H2373" s="617">
        <v>6</v>
      </c>
      <c r="I2373" s="617"/>
      <c r="J2373" s="617"/>
      <c r="K2373" s="618"/>
      <c r="L2373" s="618"/>
      <c r="M2373" s="618"/>
      <c r="N2373" s="700"/>
      <c r="O2373" s="700"/>
    </row>
    <row r="2374" spans="1:15" ht="30" customHeight="1">
      <c r="A2374" s="377" t="str">
        <f>ORÇAMENTO!A378</f>
        <v>I-00000432</v>
      </c>
      <c r="B2374" s="377" t="str">
        <f>ORÇAMENTO!C378</f>
        <v>15.01.37</v>
      </c>
      <c r="C2374" s="1047" t="str">
        <f>ORÇAMENTO!D378</f>
        <v>PARAFUSO M16 EM ACO GALVANIZADO, COMPRIMENTO = 250 MM, DIAMETRO = 16 MM, ROSCA MAQUINA, CABECA QUADRADA</v>
      </c>
      <c r="D2374" s="1047"/>
      <c r="E2374" s="1047"/>
      <c r="F2374" s="1047"/>
      <c r="G2374" s="377" t="str">
        <f>ORÇAMENTO!E378</f>
        <v xml:space="preserve">UN </v>
      </c>
      <c r="H2374" s="377">
        <f>H2375</f>
        <v>4</v>
      </c>
      <c r="I2374" s="379"/>
      <c r="J2374" s="377"/>
      <c r="K2374" s="379"/>
      <c r="L2374" s="377"/>
      <c r="M2374" s="379"/>
      <c r="N2374" s="377"/>
      <c r="O2374" s="379"/>
    </row>
    <row r="2375" spans="1:15">
      <c r="A2375" s="342"/>
      <c r="B2375" s="342"/>
      <c r="C2375" s="1078" t="s">
        <v>2100</v>
      </c>
      <c r="D2375" s="1078"/>
      <c r="E2375" s="1078"/>
      <c r="F2375" s="1078"/>
      <c r="G2375" s="389"/>
      <c r="H2375" s="617">
        <v>4</v>
      </c>
      <c r="I2375" s="617"/>
      <c r="J2375" s="617"/>
      <c r="K2375" s="618"/>
      <c r="L2375" s="618"/>
      <c r="M2375" s="618"/>
      <c r="N2375" s="700"/>
      <c r="O2375" s="700"/>
    </row>
    <row r="2376" spans="1:15" ht="42" customHeight="1">
      <c r="A2376" s="377" t="str">
        <f>ORÇAMENTO!A379</f>
        <v>I-00000439</v>
      </c>
      <c r="B2376" s="377" t="str">
        <f>ORÇAMENTO!C379</f>
        <v>15.01.38</v>
      </c>
      <c r="C2376" s="1047" t="str">
        <f>ORÇAMENTO!D379</f>
        <v>PARAFUSO M16 EM ACO GALVANIZADO, COMPRIMENTO = 300 MM, DIAMETRO = 16 MM, ROSCA MAQUINA, CABECA QUADRADA</v>
      </c>
      <c r="D2376" s="1047"/>
      <c r="E2376" s="1047"/>
      <c r="F2376" s="1047"/>
      <c r="G2376" s="377" t="str">
        <f>ORÇAMENTO!E378</f>
        <v xml:space="preserve">UN </v>
      </c>
      <c r="H2376" s="377">
        <f>H2377</f>
        <v>6</v>
      </c>
      <c r="I2376" s="379"/>
      <c r="J2376" s="377"/>
      <c r="K2376" s="379"/>
      <c r="L2376" s="377"/>
      <c r="M2376" s="379"/>
      <c r="N2376" s="377"/>
      <c r="O2376" s="379"/>
    </row>
    <row r="2377" spans="1:15">
      <c r="A2377" s="342"/>
      <c r="B2377" s="342"/>
      <c r="C2377" s="1078" t="s">
        <v>2100</v>
      </c>
      <c r="D2377" s="1078"/>
      <c r="E2377" s="1078"/>
      <c r="F2377" s="1078"/>
      <c r="G2377" s="389"/>
      <c r="H2377" s="617">
        <v>6</v>
      </c>
      <c r="I2377" s="617"/>
      <c r="J2377" s="617"/>
      <c r="K2377" s="618"/>
      <c r="L2377" s="618"/>
      <c r="M2377" s="618"/>
      <c r="N2377" s="700"/>
      <c r="O2377" s="700"/>
    </row>
    <row r="2378" spans="1:15" ht="27" customHeight="1">
      <c r="A2378" s="377" t="str">
        <f>ORÇAMENTO!A380</f>
        <v>I-00000437</v>
      </c>
      <c r="B2378" s="377" t="str">
        <f>ORÇAMENTO!C380</f>
        <v>15.01.39</v>
      </c>
      <c r="C2378" s="1047" t="str">
        <f>ORÇAMENTO!D380</f>
        <v>PARAFUSO M16 EM ACO GALVANIZADO, COMPRIMENTO = 400 MM, DIAMETRO = 16 MM, ROSCA DUPLA</v>
      </c>
      <c r="D2378" s="1047"/>
      <c r="E2378" s="1047"/>
      <c r="F2378" s="1047"/>
      <c r="G2378" s="377" t="str">
        <f>ORÇAMENTO!E379</f>
        <v xml:space="preserve">UN </v>
      </c>
      <c r="H2378" s="377">
        <f>H2379</f>
        <v>4</v>
      </c>
      <c r="I2378" s="379"/>
      <c r="J2378" s="377"/>
      <c r="K2378" s="379"/>
      <c r="L2378" s="377"/>
      <c r="M2378" s="379"/>
      <c r="N2378" s="377"/>
      <c r="O2378" s="379"/>
    </row>
    <row r="2379" spans="1:15">
      <c r="A2379" s="342"/>
      <c r="B2379" s="342"/>
      <c r="C2379" s="1078" t="s">
        <v>2100</v>
      </c>
      <c r="D2379" s="1078"/>
      <c r="E2379" s="1078"/>
      <c r="F2379" s="1078"/>
      <c r="G2379" s="389"/>
      <c r="H2379" s="617">
        <v>4</v>
      </c>
      <c r="I2379" s="617"/>
      <c r="J2379" s="617"/>
      <c r="K2379" s="618"/>
      <c r="L2379" s="618"/>
      <c r="M2379" s="618"/>
      <c r="N2379" s="700"/>
      <c r="O2379" s="700"/>
    </row>
    <row r="2380" spans="1:15" ht="22.5" customHeight="1">
      <c r="A2380" s="377">
        <f>ORÇAMENTO!A381</f>
        <v>2845</v>
      </c>
      <c r="B2380" s="377" t="str">
        <f>ORÇAMENTO!C381</f>
        <v>15.01.40</v>
      </c>
      <c r="C2380" s="1047" t="str">
        <f>ORÇAMENTO!D381</f>
        <v>FORNECIMENTO DE ARRUELA QUADRADA 50MM C/ FURO 18MM</v>
      </c>
      <c r="D2380" s="1047"/>
      <c r="E2380" s="1047"/>
      <c r="F2380" s="1047"/>
      <c r="G2380" s="377" t="str">
        <f>ORÇAMENTO!E381</f>
        <v xml:space="preserve">UN </v>
      </c>
      <c r="H2380" s="377">
        <f>H2381</f>
        <v>60</v>
      </c>
      <c r="I2380" s="379"/>
      <c r="J2380" s="377"/>
      <c r="K2380" s="379"/>
      <c r="L2380" s="377"/>
      <c r="M2380" s="379"/>
      <c r="N2380" s="377"/>
      <c r="O2380" s="379"/>
    </row>
    <row r="2381" spans="1:15">
      <c r="A2381" s="342"/>
      <c r="B2381" s="342"/>
      <c r="C2381" s="1078" t="s">
        <v>2100</v>
      </c>
      <c r="D2381" s="1078"/>
      <c r="E2381" s="1078"/>
      <c r="F2381" s="1078"/>
      <c r="G2381" s="389"/>
      <c r="H2381" s="617">
        <v>60</v>
      </c>
      <c r="I2381" s="617"/>
      <c r="J2381" s="617"/>
      <c r="K2381" s="618"/>
      <c r="L2381" s="618"/>
      <c r="M2381" s="618"/>
      <c r="N2381" s="700"/>
      <c r="O2381" s="700"/>
    </row>
    <row r="2382" spans="1:15" ht="27.6" customHeight="1">
      <c r="A2382" s="377" t="str">
        <f>ORÇAMENTO!A382</f>
        <v>I-00001091</v>
      </c>
      <c r="B2382" s="377" t="str">
        <f>ORÇAMENTO!C382</f>
        <v>15.01.41</v>
      </c>
      <c r="C2382" s="1047" t="str">
        <f>ORÇAMENTO!D382</f>
        <v>ARMACAO VERTICAL COM HASTE E CONTRA-PINO, EM CHAPA DE ACO GALVANIZADO 3/16", COM 1 ESTRIBO E 1 ISOLADOR</v>
      </c>
      <c r="D2382" s="1047"/>
      <c r="E2382" s="1047"/>
      <c r="F2382" s="1047"/>
      <c r="G2382" s="377" t="str">
        <f>ORÇAMENTO!E382</f>
        <v xml:space="preserve">UN </v>
      </c>
      <c r="H2382" s="377">
        <f>H2383</f>
        <v>2</v>
      </c>
      <c r="I2382" s="379"/>
      <c r="J2382" s="377"/>
      <c r="K2382" s="379"/>
      <c r="L2382" s="377"/>
      <c r="M2382" s="379"/>
      <c r="N2382" s="377"/>
      <c r="O2382" s="379"/>
    </row>
    <row r="2383" spans="1:15">
      <c r="A2383" s="342"/>
      <c r="B2383" s="342"/>
      <c r="C2383" s="1078" t="s">
        <v>2100</v>
      </c>
      <c r="D2383" s="1078"/>
      <c r="E2383" s="1078"/>
      <c r="F2383" s="1078"/>
      <c r="G2383" s="389"/>
      <c r="H2383" s="617">
        <v>2</v>
      </c>
      <c r="I2383" s="617"/>
      <c r="J2383" s="617"/>
      <c r="K2383" s="618"/>
      <c r="L2383" s="618"/>
      <c r="M2383" s="618"/>
      <c r="N2383" s="700"/>
      <c r="O2383" s="700"/>
    </row>
    <row r="2384" spans="1:15" ht="25.15" customHeight="1">
      <c r="A2384" s="377">
        <f>ORÇAMENTO!A383</f>
        <v>2892</v>
      </c>
      <c r="B2384" s="377" t="str">
        <f>ORÇAMENTO!C383</f>
        <v>15.01.42</v>
      </c>
      <c r="C2384" s="1047" t="str">
        <f>ORÇAMENTO!D383</f>
        <v>FORNECIMENTO DE ISOLADOR ROLDANA DE PORCELANA</v>
      </c>
      <c r="D2384" s="1047"/>
      <c r="E2384" s="1047"/>
      <c r="F2384" s="1047"/>
      <c r="G2384" s="377" t="str">
        <f>ORÇAMENTO!E383</f>
        <v xml:space="preserve">UN </v>
      </c>
      <c r="H2384" s="377">
        <f>H2385</f>
        <v>6</v>
      </c>
      <c r="I2384" s="379"/>
      <c r="J2384" s="377"/>
      <c r="K2384" s="379"/>
      <c r="L2384" s="377"/>
      <c r="M2384" s="379"/>
      <c r="N2384" s="377"/>
      <c r="O2384" s="379"/>
    </row>
    <row r="2385" spans="1:15">
      <c r="A2385" s="342"/>
      <c r="B2385" s="342"/>
      <c r="C2385" s="1078" t="s">
        <v>2100</v>
      </c>
      <c r="D2385" s="1078"/>
      <c r="E2385" s="1078"/>
      <c r="F2385" s="1078"/>
      <c r="G2385" s="389"/>
      <c r="H2385" s="617">
        <v>6</v>
      </c>
      <c r="I2385" s="617"/>
      <c r="J2385" s="617"/>
      <c r="K2385" s="618"/>
      <c r="L2385" s="618"/>
      <c r="M2385" s="618"/>
      <c r="N2385" s="700"/>
      <c r="O2385" s="700"/>
    </row>
    <row r="2386" spans="1:15">
      <c r="A2386" s="377">
        <f>ORÇAMENTO!A384</f>
        <v>9277</v>
      </c>
      <c r="B2386" s="377" t="str">
        <f>ORÇAMENTO!C384</f>
        <v>15.01.43</v>
      </c>
      <c r="C2386" s="1047" t="str">
        <f>ORÇAMENTO!D384</f>
        <v>FITA METÁLICA PERFURADA</v>
      </c>
      <c r="D2386" s="1047"/>
      <c r="E2386" s="1047"/>
      <c r="F2386" s="1047"/>
      <c r="G2386" s="377" t="str">
        <f>ORÇAMENTO!E384</f>
        <v>M</v>
      </c>
      <c r="H2386" s="377">
        <f>H2387</f>
        <v>6</v>
      </c>
      <c r="I2386" s="379"/>
      <c r="J2386" s="377"/>
      <c r="K2386" s="379"/>
      <c r="L2386" s="377"/>
      <c r="M2386" s="379"/>
      <c r="N2386" s="377"/>
      <c r="O2386" s="379"/>
    </row>
    <row r="2387" spans="1:15">
      <c r="A2387" s="342"/>
      <c r="B2387" s="342"/>
      <c r="C2387" s="1078" t="s">
        <v>2100</v>
      </c>
      <c r="D2387" s="1078"/>
      <c r="E2387" s="1078"/>
      <c r="F2387" s="1078"/>
      <c r="G2387" s="389"/>
      <c r="H2387" s="617">
        <v>6</v>
      </c>
      <c r="I2387" s="617"/>
      <c r="J2387" s="617"/>
      <c r="K2387" s="618"/>
      <c r="L2387" s="618"/>
      <c r="M2387" s="618"/>
      <c r="N2387" s="700"/>
      <c r="O2387" s="700"/>
    </row>
    <row r="2388" spans="1:15" ht="27" customHeight="1">
      <c r="A2388" s="377">
        <f>ORÇAMENTO!A385</f>
        <v>4000</v>
      </c>
      <c r="B2388" s="377" t="str">
        <f>ORÇAMENTO!C385</f>
        <v>15.01.44</v>
      </c>
      <c r="C2388" s="1047" t="str">
        <f>ORÇAMENTO!D385</f>
        <v>FECHO PARA FITA AÇO INOX 3/4 E 1/2", FUSIMEC OU SIMILAR - FORNECIMENTO</v>
      </c>
      <c r="D2388" s="1047"/>
      <c r="E2388" s="1047"/>
      <c r="F2388" s="1047"/>
      <c r="G2388" s="377" t="str">
        <f>ORÇAMENTO!E385</f>
        <v xml:space="preserve">UN </v>
      </c>
      <c r="H2388" s="377">
        <f>H2389</f>
        <v>6</v>
      </c>
      <c r="I2388" s="379"/>
      <c r="J2388" s="377"/>
      <c r="K2388" s="379"/>
      <c r="L2388" s="377"/>
      <c r="M2388" s="379"/>
      <c r="N2388" s="377"/>
      <c r="O2388" s="379"/>
    </row>
    <row r="2389" spans="1:15" ht="16.5" customHeight="1">
      <c r="A2389" s="342"/>
      <c r="B2389" s="342"/>
      <c r="C2389" s="1078" t="s">
        <v>2100</v>
      </c>
      <c r="D2389" s="1078"/>
      <c r="E2389" s="1078"/>
      <c r="F2389" s="1078"/>
      <c r="G2389" s="389"/>
      <c r="H2389" s="617">
        <v>6</v>
      </c>
      <c r="I2389" s="617"/>
      <c r="J2389" s="617"/>
      <c r="K2389" s="618"/>
      <c r="L2389" s="618"/>
      <c r="M2389" s="618"/>
      <c r="N2389" s="700"/>
      <c r="O2389" s="700"/>
    </row>
    <row r="2390" spans="1:15" ht="16.5" customHeight="1">
      <c r="A2390" s="377">
        <f>ORÇAMENTO!A386</f>
        <v>359</v>
      </c>
      <c r="B2390" s="377" t="str">
        <f>ORÇAMENTO!C386</f>
        <v>15.01.45</v>
      </c>
      <c r="C2390" s="1047" t="str">
        <f>ORÇAMENTO!D386</f>
        <v>ELETRODUTO DE PVC RÍGIDO ROSCÁVEL, DIÂM = 85MM (3")</v>
      </c>
      <c r="D2390" s="1047"/>
      <c r="E2390" s="1047"/>
      <c r="F2390" s="1047"/>
      <c r="G2390" s="377" t="str">
        <f>ORÇAMENTO!E386</f>
        <v>M</v>
      </c>
      <c r="H2390" s="377">
        <f>H2391</f>
        <v>18</v>
      </c>
      <c r="I2390" s="379"/>
      <c r="J2390" s="377"/>
      <c r="K2390" s="379"/>
      <c r="L2390" s="377"/>
      <c r="M2390" s="379"/>
      <c r="N2390" s="377"/>
      <c r="O2390" s="379"/>
    </row>
    <row r="2391" spans="1:15" ht="16.5" customHeight="1">
      <c r="A2391" s="342"/>
      <c r="B2391" s="342"/>
      <c r="C2391" s="1078" t="s">
        <v>2100</v>
      </c>
      <c r="D2391" s="1078"/>
      <c r="E2391" s="1078"/>
      <c r="F2391" s="1078"/>
      <c r="G2391" s="389"/>
      <c r="H2391" s="617">
        <f>3*6</f>
        <v>18</v>
      </c>
      <c r="I2391" s="617"/>
      <c r="J2391" s="617"/>
      <c r="K2391" s="618"/>
      <c r="L2391" s="618"/>
      <c r="M2391" s="618"/>
      <c r="N2391" s="700"/>
      <c r="O2391" s="700"/>
    </row>
    <row r="2392" spans="1:15" ht="27" customHeight="1">
      <c r="A2392" s="377">
        <f>ORÇAMENTO!A387</f>
        <v>93024</v>
      </c>
      <c r="B2392" s="377" t="str">
        <f>ORÇAMENTO!C387</f>
        <v>15.01.46</v>
      </c>
      <c r="C2392" s="1047" t="str">
        <f>ORÇAMENTO!D387</f>
        <v>CURVA 90 GRAUS PARA ELETRODUTO, PVC, ROSCÁVEL, DN 85 MM (3") - FORNECIMENTO E INSTALAÇÃO. AF_12/2015</v>
      </c>
      <c r="D2392" s="1047"/>
      <c r="E2392" s="1047"/>
      <c r="F2392" s="1047"/>
      <c r="G2392" s="377" t="str">
        <f>ORÇAMENTO!E387</f>
        <v xml:space="preserve">UN </v>
      </c>
      <c r="H2392" s="377">
        <f>H2393</f>
        <v>5</v>
      </c>
      <c r="I2392" s="379"/>
      <c r="J2392" s="377"/>
      <c r="K2392" s="379"/>
      <c r="L2392" s="377"/>
      <c r="M2392" s="379"/>
      <c r="N2392" s="377"/>
      <c r="O2392" s="379"/>
    </row>
    <row r="2393" spans="1:15" ht="16.5" customHeight="1">
      <c r="A2393" s="342"/>
      <c r="B2393" s="342"/>
      <c r="C2393" s="1078" t="s">
        <v>2100</v>
      </c>
      <c r="D2393" s="1078"/>
      <c r="E2393" s="1078"/>
      <c r="F2393" s="1078"/>
      <c r="G2393" s="389"/>
      <c r="H2393" s="617">
        <v>5</v>
      </c>
      <c r="I2393" s="617"/>
      <c r="J2393" s="617"/>
      <c r="K2393" s="618"/>
      <c r="L2393" s="618"/>
      <c r="M2393" s="618"/>
      <c r="N2393" s="700"/>
      <c r="O2393" s="700"/>
    </row>
    <row r="2394" spans="1:15" ht="16.5" customHeight="1">
      <c r="A2394" s="377">
        <f>ORÇAMENTO!A388</f>
        <v>377</v>
      </c>
      <c r="B2394" s="377" t="str">
        <f>ORÇAMENTO!C388</f>
        <v>15.01.47</v>
      </c>
      <c r="C2394" s="1047" t="str">
        <f>ORÇAMENTO!D388</f>
        <v>LUVA PARA ELETRODUTO DE PVC RÍGIDO ROSCÁVEL, DIÂM = 85MM (3")</v>
      </c>
      <c r="D2394" s="1047"/>
      <c r="E2394" s="1047"/>
      <c r="F2394" s="1047"/>
      <c r="G2394" s="377" t="str">
        <f>ORÇAMENTO!E388</f>
        <v xml:space="preserve">UN </v>
      </c>
      <c r="H2394" s="377">
        <f>H2395</f>
        <v>6</v>
      </c>
      <c r="I2394" s="379"/>
      <c r="J2394" s="377"/>
      <c r="K2394" s="379"/>
      <c r="L2394" s="377"/>
      <c r="M2394" s="379"/>
      <c r="N2394" s="377"/>
      <c r="O2394" s="379"/>
    </row>
    <row r="2395" spans="1:15" ht="16.5" customHeight="1">
      <c r="A2395" s="342"/>
      <c r="B2395" s="342"/>
      <c r="C2395" s="1078" t="s">
        <v>2100</v>
      </c>
      <c r="D2395" s="1078"/>
      <c r="E2395" s="1078"/>
      <c r="F2395" s="1078"/>
      <c r="G2395" s="389"/>
      <c r="H2395" s="617">
        <v>6</v>
      </c>
      <c r="I2395" s="617"/>
      <c r="J2395" s="617"/>
      <c r="K2395" s="618"/>
      <c r="L2395" s="618"/>
      <c r="M2395" s="618"/>
      <c r="N2395" s="700"/>
      <c r="O2395" s="700"/>
    </row>
    <row r="2396" spans="1:15" ht="16.5" customHeight="1">
      <c r="A2396" s="377">
        <f>ORÇAMENTO!A389</f>
        <v>11766</v>
      </c>
      <c r="B2396" s="377" t="str">
        <f>ORÇAMENTO!C389</f>
        <v>15.01.48</v>
      </c>
      <c r="C2396" s="1047" t="str">
        <f>ORÇAMENTO!D389</f>
        <v>BUCHA DE ALUMÍNIO P/ ELETRODUTO D=4"</v>
      </c>
      <c r="D2396" s="1047"/>
      <c r="E2396" s="1047"/>
      <c r="F2396" s="1047"/>
      <c r="G2396" s="377" t="str">
        <f>ORÇAMENTO!E389</f>
        <v xml:space="preserve">UN </v>
      </c>
      <c r="H2396" s="377">
        <f>H2397</f>
        <v>4</v>
      </c>
      <c r="I2396" s="379"/>
      <c r="J2396" s="377"/>
      <c r="K2396" s="379"/>
      <c r="L2396" s="377"/>
      <c r="M2396" s="379"/>
      <c r="N2396" s="377"/>
      <c r="O2396" s="379"/>
    </row>
    <row r="2397" spans="1:15" ht="16.5" customHeight="1">
      <c r="A2397" s="342"/>
      <c r="B2397" s="342"/>
      <c r="C2397" s="1078" t="s">
        <v>2100</v>
      </c>
      <c r="D2397" s="1078"/>
      <c r="E2397" s="1078"/>
      <c r="F2397" s="1078"/>
      <c r="G2397" s="389"/>
      <c r="H2397" s="617">
        <v>4</v>
      </c>
      <c r="I2397" s="617"/>
      <c r="J2397" s="617"/>
      <c r="K2397" s="618"/>
      <c r="L2397" s="618"/>
      <c r="M2397" s="618"/>
      <c r="N2397" s="700"/>
      <c r="O2397" s="700"/>
    </row>
    <row r="2398" spans="1:15" ht="16.5" customHeight="1">
      <c r="A2398" s="377">
        <f>ORÇAMENTO!A390</f>
        <v>11765</v>
      </c>
      <c r="B2398" s="377" t="str">
        <f>ORÇAMENTO!C390</f>
        <v>15.01.49</v>
      </c>
      <c r="C2398" s="1047" t="str">
        <f>ORÇAMENTO!D390</f>
        <v>ARRUELA DE ALUMÍNIO P/ ELETRODUTO D=4"</v>
      </c>
      <c r="D2398" s="1047"/>
      <c r="E2398" s="1047"/>
      <c r="F2398" s="1047"/>
      <c r="G2398" s="377" t="str">
        <f>ORÇAMENTO!E390</f>
        <v xml:space="preserve">UN </v>
      </c>
      <c r="H2398" s="377">
        <f>H2399</f>
        <v>2</v>
      </c>
      <c r="I2398" s="379"/>
      <c r="J2398" s="377"/>
      <c r="K2398" s="379"/>
      <c r="L2398" s="377"/>
      <c r="M2398" s="379"/>
      <c r="N2398" s="377"/>
      <c r="O2398" s="379"/>
    </row>
    <row r="2399" spans="1:15" ht="16.5" customHeight="1">
      <c r="A2399" s="342"/>
      <c r="B2399" s="342"/>
      <c r="C2399" s="1078" t="s">
        <v>2100</v>
      </c>
      <c r="D2399" s="1078"/>
      <c r="E2399" s="1078"/>
      <c r="F2399" s="1078"/>
      <c r="G2399" s="389"/>
      <c r="H2399" s="617">
        <v>2</v>
      </c>
      <c r="I2399" s="617"/>
      <c r="J2399" s="617"/>
      <c r="K2399" s="618"/>
      <c r="L2399" s="618"/>
      <c r="M2399" s="618"/>
      <c r="N2399" s="700"/>
      <c r="O2399" s="700"/>
    </row>
    <row r="2400" spans="1:15" ht="31.15" customHeight="1">
      <c r="A2400" s="377" t="str">
        <f>ORÇAMENTO!A391</f>
        <v>I-00040535</v>
      </c>
      <c r="B2400" s="377" t="str">
        <f>ORÇAMENTO!C391</f>
        <v>15.01.50</v>
      </c>
      <c r="C2400" s="1047" t="str">
        <f>ORÇAMENTO!D391</f>
        <v>PERFIL "U" SIMPLES DE ACO GALVANIZADO DOBRADO 75 X *40* MM, E = 2,65 MM</v>
      </c>
      <c r="D2400" s="1047"/>
      <c r="E2400" s="1047"/>
      <c r="F2400" s="1047"/>
      <c r="G2400" s="377" t="str">
        <f>ORÇAMENTO!E391</f>
        <v xml:space="preserve">UN </v>
      </c>
      <c r="H2400" s="377">
        <f>H2401</f>
        <v>2</v>
      </c>
      <c r="I2400" s="379"/>
      <c r="J2400" s="377"/>
      <c r="K2400" s="379"/>
      <c r="L2400" s="377"/>
      <c r="M2400" s="379"/>
      <c r="N2400" s="377"/>
      <c r="O2400" s="379"/>
    </row>
    <row r="2401" spans="1:15" ht="16.5" customHeight="1">
      <c r="A2401" s="342"/>
      <c r="B2401" s="342"/>
      <c r="C2401" s="1078" t="s">
        <v>2100</v>
      </c>
      <c r="D2401" s="1078"/>
      <c r="E2401" s="1078"/>
      <c r="F2401" s="1078"/>
      <c r="G2401" s="389"/>
      <c r="H2401" s="617">
        <v>2</v>
      </c>
      <c r="I2401" s="617"/>
      <c r="J2401" s="617"/>
      <c r="K2401" s="618"/>
      <c r="L2401" s="618"/>
      <c r="M2401" s="618"/>
      <c r="N2401" s="700"/>
      <c r="O2401" s="700"/>
    </row>
    <row r="2402" spans="1:15" ht="31.15" customHeight="1">
      <c r="A2402" s="377" t="str">
        <f>ORÇAMENTO!A392</f>
        <v>COMP/ELE -17</v>
      </c>
      <c r="B2402" s="377" t="str">
        <f>ORÇAMENTO!C392</f>
        <v>15.01.51</v>
      </c>
      <c r="C2402" s="1047" t="str">
        <f>ORÇAMENTO!D392</f>
        <v>LAÇO PLÁSTICO TOPO PARA CABO COBERTO</v>
      </c>
      <c r="D2402" s="1047"/>
      <c r="E2402" s="1047"/>
      <c r="F2402" s="1047"/>
      <c r="G2402" s="377" t="str">
        <f>ORÇAMENTO!E392</f>
        <v xml:space="preserve">UN </v>
      </c>
      <c r="H2402" s="377">
        <f>H2403</f>
        <v>2</v>
      </c>
      <c r="I2402" s="379"/>
      <c r="J2402" s="377"/>
      <c r="K2402" s="379"/>
      <c r="L2402" s="377"/>
      <c r="M2402" s="379"/>
      <c r="N2402" s="377"/>
      <c r="O2402" s="379"/>
    </row>
    <row r="2403" spans="1:15" ht="16.5" customHeight="1">
      <c r="A2403" s="342"/>
      <c r="B2403" s="342"/>
      <c r="C2403" s="1078" t="s">
        <v>2100</v>
      </c>
      <c r="D2403" s="1078"/>
      <c r="E2403" s="1078"/>
      <c r="F2403" s="1078"/>
      <c r="G2403" s="389"/>
      <c r="H2403" s="617">
        <v>2</v>
      </c>
      <c r="I2403" s="617"/>
      <c r="J2403" s="617"/>
      <c r="K2403" s="618"/>
      <c r="L2403" s="618"/>
      <c r="M2403" s="618"/>
      <c r="N2403" s="700"/>
      <c r="O2403" s="700"/>
    </row>
    <row r="2404" spans="1:15" ht="31.15" customHeight="1">
      <c r="A2404" s="377" t="str">
        <f>ORÇAMENTO!A393</f>
        <v>I-04634</v>
      </c>
      <c r="B2404" s="377" t="str">
        <f>ORÇAMENTO!C393</f>
        <v>15.01.52</v>
      </c>
      <c r="C2404" s="1047" t="str">
        <f>ORÇAMENTO!D393</f>
        <v>BRAÇO TIPO "C" 15KV</v>
      </c>
      <c r="D2404" s="1047"/>
      <c r="E2404" s="1047"/>
      <c r="F2404" s="1047"/>
      <c r="G2404" s="377" t="str">
        <f>ORÇAMENTO!E393</f>
        <v xml:space="preserve">UN </v>
      </c>
      <c r="H2404" s="377">
        <f>H2405</f>
        <v>2</v>
      </c>
      <c r="I2404" s="379"/>
      <c r="J2404" s="377"/>
      <c r="K2404" s="379"/>
      <c r="L2404" s="377"/>
      <c r="M2404" s="379"/>
      <c r="N2404" s="377"/>
      <c r="O2404" s="379"/>
    </row>
    <row r="2405" spans="1:15" ht="16.5" customHeight="1">
      <c r="A2405" s="342"/>
      <c r="B2405" s="342"/>
      <c r="C2405" s="1078" t="s">
        <v>2100</v>
      </c>
      <c r="D2405" s="1078"/>
      <c r="E2405" s="1078"/>
      <c r="F2405" s="1078"/>
      <c r="G2405" s="389"/>
      <c r="H2405" s="617">
        <v>2</v>
      </c>
      <c r="I2405" s="617"/>
      <c r="J2405" s="617"/>
      <c r="K2405" s="618"/>
      <c r="L2405" s="618"/>
      <c r="M2405" s="618"/>
      <c r="N2405" s="700"/>
      <c r="O2405" s="700"/>
    </row>
    <row r="2406" spans="1:15" ht="31.15" customHeight="1">
      <c r="A2406" s="377" t="str">
        <f>ORÇAMENTO!A394</f>
        <v>I-10508</v>
      </c>
      <c r="B2406" s="377" t="str">
        <f>ORÇAMENTO!C394</f>
        <v>15.01.53</v>
      </c>
      <c r="C2406" s="1047" t="str">
        <f>ORÇAMENTO!D394</f>
        <v>ANEL DE AMARRAÇÃO EM SILICONE PARA ISOLADOR POLIMÉRICO DE 25 KV</v>
      </c>
      <c r="D2406" s="1047"/>
      <c r="E2406" s="1047"/>
      <c r="F2406" s="1047"/>
      <c r="G2406" s="377" t="str">
        <f>ORÇAMENTO!E394</f>
        <v xml:space="preserve">UN </v>
      </c>
      <c r="H2406" s="377">
        <f>H2407</f>
        <v>9</v>
      </c>
      <c r="I2406" s="379"/>
      <c r="J2406" s="377"/>
      <c r="K2406" s="379"/>
      <c r="L2406" s="377"/>
      <c r="M2406" s="379"/>
      <c r="N2406" s="377"/>
      <c r="O2406" s="379"/>
    </row>
    <row r="2407" spans="1:15" ht="16.5" customHeight="1">
      <c r="A2407" s="342"/>
      <c r="B2407" s="342"/>
      <c r="C2407" s="1078" t="s">
        <v>2100</v>
      </c>
      <c r="D2407" s="1078"/>
      <c r="E2407" s="1078"/>
      <c r="F2407" s="1078"/>
      <c r="G2407" s="389"/>
      <c r="H2407" s="617">
        <v>9</v>
      </c>
      <c r="I2407" s="617"/>
      <c r="J2407" s="617"/>
      <c r="K2407" s="618"/>
      <c r="L2407" s="618"/>
      <c r="M2407" s="618"/>
      <c r="N2407" s="700"/>
      <c r="O2407" s="700"/>
    </row>
    <row r="2408" spans="1:15" ht="31.15" customHeight="1">
      <c r="A2408" s="377" t="str">
        <f>ORÇAMENTO!A395</f>
        <v xml:space="preserve">I-01671 </v>
      </c>
      <c r="B2408" s="377" t="str">
        <f>ORÇAMENTO!C395</f>
        <v>15.01.54</v>
      </c>
      <c r="C2408" s="1047" t="str">
        <f>ORÇAMENTO!D395</f>
        <v>PARAFUSO CABEÇA ABAULADA 16 X 45MM</v>
      </c>
      <c r="D2408" s="1047"/>
      <c r="E2408" s="1047"/>
      <c r="F2408" s="1047"/>
      <c r="G2408" s="377" t="str">
        <f>ORÇAMENTO!E395</f>
        <v xml:space="preserve">UN </v>
      </c>
      <c r="H2408" s="377">
        <f>H2409</f>
        <v>4</v>
      </c>
      <c r="I2408" s="379"/>
      <c r="J2408" s="377"/>
      <c r="K2408" s="379"/>
      <c r="L2408" s="377"/>
      <c r="M2408" s="379"/>
      <c r="N2408" s="377"/>
      <c r="O2408" s="379"/>
    </row>
    <row r="2409" spans="1:15" ht="16.5" customHeight="1">
      <c r="A2409" s="342"/>
      <c r="B2409" s="342"/>
      <c r="C2409" s="1078" t="s">
        <v>2100</v>
      </c>
      <c r="D2409" s="1078"/>
      <c r="E2409" s="1078"/>
      <c r="F2409" s="1078"/>
      <c r="G2409" s="389"/>
      <c r="H2409" s="617">
        <v>4</v>
      </c>
      <c r="I2409" s="617"/>
      <c r="J2409" s="617"/>
      <c r="K2409" s="618"/>
      <c r="L2409" s="618"/>
      <c r="M2409" s="618"/>
      <c r="N2409" s="700"/>
      <c r="O2409" s="700"/>
    </row>
    <row r="2410" spans="1:15" ht="31.15" customHeight="1">
      <c r="A2410" s="377" t="str">
        <f>ORÇAMENTO!A396</f>
        <v>I-01672</v>
      </c>
      <c r="B2410" s="377" t="str">
        <f>ORÇAMENTO!C396</f>
        <v>15.01.55</v>
      </c>
      <c r="C2410" s="1047" t="str">
        <f>ORÇAMENTO!D396</f>
        <v>PARAFUSO CABEÇA ABAULADA 16 X 70MM</v>
      </c>
      <c r="D2410" s="1047"/>
      <c r="E2410" s="1047"/>
      <c r="F2410" s="1047"/>
      <c r="G2410" s="377" t="str">
        <f>ORÇAMENTO!E396</f>
        <v xml:space="preserve">UN </v>
      </c>
      <c r="H2410" s="377">
        <f>H2411</f>
        <v>2</v>
      </c>
      <c r="I2410" s="379"/>
      <c r="J2410" s="377"/>
      <c r="K2410" s="379"/>
      <c r="L2410" s="377"/>
      <c r="M2410" s="379"/>
      <c r="N2410" s="377"/>
      <c r="O2410" s="379"/>
    </row>
    <row r="2411" spans="1:15" ht="16.5" customHeight="1">
      <c r="A2411" s="342"/>
      <c r="B2411" s="342"/>
      <c r="C2411" s="1078" t="s">
        <v>2100</v>
      </c>
      <c r="D2411" s="1078"/>
      <c r="E2411" s="1078"/>
      <c r="F2411" s="1078"/>
      <c r="G2411" s="389"/>
      <c r="H2411" s="617">
        <v>2</v>
      </c>
      <c r="I2411" s="617"/>
      <c r="J2411" s="617"/>
      <c r="K2411" s="618"/>
      <c r="L2411" s="618"/>
      <c r="M2411" s="618"/>
      <c r="N2411" s="700"/>
      <c r="O2411" s="700"/>
    </row>
    <row r="2412" spans="1:15" ht="31.15" customHeight="1">
      <c r="A2412" s="377" t="str">
        <f>ORÇAMENTO!A397</f>
        <v>I-00001096</v>
      </c>
      <c r="B2412" s="377" t="str">
        <f>ORÇAMENTO!C397</f>
        <v>15.01.56</v>
      </c>
      <c r="C2412" s="1047" t="str">
        <f>ORÇAMENTO!D397</f>
        <v>ARMACAO VERTICAL COM HASTE E CONTRA-PINO, EM CHAPA DE ACO GALVANIZADO 3/16", COM 4 ESTRIBOS E 4 ISOLADORES</v>
      </c>
      <c r="D2412" s="1047"/>
      <c r="E2412" s="1047"/>
      <c r="F2412" s="1047"/>
      <c r="G2412" s="377" t="str">
        <f>ORÇAMENTO!E397</f>
        <v xml:space="preserve">UN </v>
      </c>
      <c r="H2412" s="377">
        <f>H2413</f>
        <v>1</v>
      </c>
      <c r="I2412" s="379"/>
      <c r="J2412" s="377"/>
      <c r="K2412" s="379"/>
      <c r="L2412" s="377"/>
      <c r="M2412" s="379"/>
      <c r="N2412" s="377"/>
      <c r="O2412" s="379"/>
    </row>
    <row r="2413" spans="1:15" ht="16.5" customHeight="1">
      <c r="A2413" s="342"/>
      <c r="B2413" s="342"/>
      <c r="C2413" s="1078" t="s">
        <v>2100</v>
      </c>
      <c r="D2413" s="1078"/>
      <c r="E2413" s="1078"/>
      <c r="F2413" s="1078"/>
      <c r="G2413" s="389"/>
      <c r="H2413" s="617">
        <v>1</v>
      </c>
      <c r="I2413" s="617"/>
      <c r="J2413" s="617"/>
      <c r="K2413" s="618"/>
      <c r="L2413" s="618"/>
      <c r="M2413" s="618"/>
      <c r="N2413" s="700"/>
      <c r="O2413" s="700"/>
    </row>
    <row r="2414" spans="1:15" ht="12.75" customHeight="1">
      <c r="A2414" s="373" t="s">
        <v>11</v>
      </c>
      <c r="B2414" s="375" t="s">
        <v>13</v>
      </c>
      <c r="C2414" s="1007" t="s">
        <v>1443</v>
      </c>
      <c r="D2414" s="1007"/>
      <c r="E2414" s="1007"/>
      <c r="F2414" s="1007"/>
      <c r="G2414" s="375" t="s">
        <v>15</v>
      </c>
      <c r="H2414" s="375" t="s">
        <v>1444</v>
      </c>
      <c r="I2414" s="375" t="s">
        <v>1445</v>
      </c>
      <c r="J2414" s="375" t="s">
        <v>1446</v>
      </c>
      <c r="K2414" s="375" t="s">
        <v>1447</v>
      </c>
      <c r="L2414" s="375" t="s">
        <v>1448</v>
      </c>
      <c r="M2414" s="375" t="s">
        <v>1457</v>
      </c>
      <c r="N2414" s="375" t="s">
        <v>1450</v>
      </c>
      <c r="O2414" s="375" t="s">
        <v>1451</v>
      </c>
    </row>
    <row r="2415" spans="1:15" ht="28.5" customHeight="1">
      <c r="A2415" s="376"/>
      <c r="B2415" s="376" t="str">
        <f>ORÇAMENTO!C398</f>
        <v>15.02</v>
      </c>
      <c r="C2415" s="1079" t="str">
        <f>ORÇAMENTO!D398</f>
        <v>ALIMENTADORES - ELÉTRICO</v>
      </c>
      <c r="D2415" s="1079"/>
      <c r="E2415" s="1079"/>
      <c r="F2415" s="1079"/>
      <c r="G2415" s="474"/>
      <c r="H2415" s="474"/>
      <c r="I2415" s="474"/>
      <c r="J2415" s="474"/>
      <c r="K2415" s="474"/>
      <c r="L2415" s="474"/>
      <c r="M2415" s="474"/>
      <c r="N2415" s="474"/>
      <c r="O2415" s="474"/>
    </row>
    <row r="2416" spans="1:15" ht="42" customHeight="1">
      <c r="A2416" s="377">
        <f>ORÇAMENTO!A399</f>
        <v>4527</v>
      </c>
      <c r="B2416" s="377" t="str">
        <f>ORÇAMENTO!C399</f>
        <v>15.02.01</v>
      </c>
      <c r="C2416" s="1003" t="str">
        <f>ORÇAMENTO!D399</f>
        <v>QUADRO DE MEDIÇÃO TRIFÁSICA EM NORIL COM LENTE PARA LEITURA</v>
      </c>
      <c r="D2416" s="1003"/>
      <c r="E2416" s="1003"/>
      <c r="F2416" s="1003"/>
      <c r="G2416" s="377" t="str">
        <f>ORÇAMENTO!E399</f>
        <v xml:space="preserve">UN </v>
      </c>
      <c r="H2416" s="377">
        <f>H2417</f>
        <v>2</v>
      </c>
      <c r="I2416" s="379"/>
      <c r="J2416" s="377"/>
      <c r="K2416" s="379"/>
      <c r="L2416" s="377"/>
      <c r="M2416" s="379"/>
      <c r="N2416" s="377"/>
      <c r="O2416" s="379"/>
    </row>
    <row r="2417" spans="1:15" ht="12.75" customHeight="1">
      <c r="A2417" s="342"/>
      <c r="B2417" s="342"/>
      <c r="C2417" s="1062" t="s">
        <v>2101</v>
      </c>
      <c r="D2417" s="1062"/>
      <c r="E2417" s="1062"/>
      <c r="F2417" s="1062"/>
      <c r="G2417" s="389"/>
      <c r="H2417" s="617">
        <v>2</v>
      </c>
      <c r="I2417" s="617"/>
      <c r="J2417" s="617"/>
      <c r="K2417" s="618"/>
      <c r="L2417" s="618"/>
      <c r="M2417" s="618"/>
      <c r="N2417" s="700"/>
      <c r="O2417" s="700"/>
    </row>
    <row r="2418" spans="1:15" ht="46.5" customHeight="1">
      <c r="A2418" s="377">
        <f>ORÇAMENTO!A400</f>
        <v>101875</v>
      </c>
      <c r="B2418" s="377" t="str">
        <f>ORÇAMENTO!C400</f>
        <v>15.02.02</v>
      </c>
      <c r="C2418" s="1003" t="str">
        <f>ORÇAMENTO!D400</f>
        <v>QUADRO DE DISTRIBUIÇÃO DE ENERGIA EM CHAPA DE AÇO GALVANIZADO, DE EMBUTIR, COM BARRAMENTO TRIFÁSICO, PARA 12 DISJUNTORES DIN 100A - FORNECIMENTO E INSTALAÇÃO. AF_10/2020</v>
      </c>
      <c r="D2418" s="1003"/>
      <c r="E2418" s="1003"/>
      <c r="F2418" s="1003"/>
      <c r="G2418" s="377" t="str">
        <f>ORÇAMENTO!E400</f>
        <v xml:space="preserve">UN </v>
      </c>
      <c r="H2418" s="377">
        <f>SUM(H2419:H2432)</f>
        <v>14</v>
      </c>
      <c r="I2418" s="379"/>
      <c r="J2418" s="377"/>
      <c r="K2418" s="379"/>
      <c r="L2418" s="377"/>
      <c r="M2418" s="379"/>
      <c r="N2418" s="377"/>
      <c r="O2418" s="379"/>
    </row>
    <row r="2419" spans="1:15" ht="12.75" customHeight="1">
      <c r="A2419" s="342"/>
      <c r="B2419" s="342"/>
      <c r="C2419" s="1062" t="s">
        <v>2102</v>
      </c>
      <c r="D2419" s="1062"/>
      <c r="E2419" s="1062"/>
      <c r="F2419" s="1062"/>
      <c r="G2419" s="389"/>
      <c r="H2419" s="617">
        <v>1</v>
      </c>
      <c r="I2419" s="617"/>
      <c r="J2419" s="617"/>
      <c r="K2419" s="618"/>
      <c r="L2419" s="618"/>
      <c r="M2419" s="618"/>
      <c r="N2419" s="700"/>
      <c r="O2419" s="700"/>
    </row>
    <row r="2420" spans="1:15" ht="12.75" customHeight="1">
      <c r="A2420" s="342"/>
      <c r="B2420" s="342"/>
      <c r="C2420" s="1062" t="s">
        <v>2103</v>
      </c>
      <c r="D2420" s="1062"/>
      <c r="E2420" s="1062"/>
      <c r="F2420" s="1062"/>
      <c r="G2420" s="389"/>
      <c r="H2420" s="617">
        <v>1</v>
      </c>
      <c r="I2420" s="617"/>
      <c r="J2420" s="617"/>
      <c r="K2420" s="618"/>
      <c r="L2420" s="618"/>
      <c r="M2420" s="618"/>
      <c r="N2420" s="700"/>
      <c r="O2420" s="700"/>
    </row>
    <row r="2421" spans="1:15" ht="12.75" customHeight="1">
      <c r="A2421" s="342"/>
      <c r="B2421" s="342"/>
      <c r="C2421" s="1062" t="s">
        <v>2104</v>
      </c>
      <c r="D2421" s="1062"/>
      <c r="E2421" s="1062"/>
      <c r="F2421" s="1062"/>
      <c r="G2421" s="389"/>
      <c r="H2421" s="617">
        <v>1</v>
      </c>
      <c r="I2421" s="617"/>
      <c r="J2421" s="617"/>
      <c r="K2421" s="618"/>
      <c r="L2421" s="618"/>
      <c r="M2421" s="618"/>
      <c r="N2421" s="700"/>
      <c r="O2421" s="700"/>
    </row>
    <row r="2422" spans="1:15" ht="12.75" customHeight="1">
      <c r="A2422" s="342"/>
      <c r="B2422" s="342"/>
      <c r="C2422" s="1062" t="s">
        <v>2105</v>
      </c>
      <c r="D2422" s="1062"/>
      <c r="E2422" s="1062"/>
      <c r="F2422" s="1062"/>
      <c r="G2422" s="389"/>
      <c r="H2422" s="617">
        <v>1</v>
      </c>
      <c r="I2422" s="617"/>
      <c r="J2422" s="617"/>
      <c r="K2422" s="618"/>
      <c r="L2422" s="618"/>
      <c r="M2422" s="618"/>
      <c r="N2422" s="700"/>
      <c r="O2422" s="700"/>
    </row>
    <row r="2423" spans="1:15" ht="12.75" customHeight="1">
      <c r="A2423" s="342"/>
      <c r="B2423" s="342"/>
      <c r="C2423" s="1062" t="s">
        <v>2106</v>
      </c>
      <c r="D2423" s="1062"/>
      <c r="E2423" s="1062"/>
      <c r="F2423" s="1062"/>
      <c r="G2423" s="389"/>
      <c r="H2423" s="617">
        <v>1</v>
      </c>
      <c r="I2423" s="617"/>
      <c r="J2423" s="617"/>
      <c r="K2423" s="618"/>
      <c r="L2423" s="618"/>
      <c r="M2423" s="618"/>
      <c r="N2423" s="700"/>
      <c r="O2423" s="700"/>
    </row>
    <row r="2424" spans="1:15" ht="12.75" customHeight="1">
      <c r="A2424" s="342"/>
      <c r="B2424" s="342"/>
      <c r="C2424" s="1062" t="s">
        <v>2107</v>
      </c>
      <c r="D2424" s="1062"/>
      <c r="E2424" s="1062"/>
      <c r="F2424" s="1062"/>
      <c r="G2424" s="389"/>
      <c r="H2424" s="617">
        <v>1</v>
      </c>
      <c r="I2424" s="617"/>
      <c r="J2424" s="617"/>
      <c r="K2424" s="618"/>
      <c r="L2424" s="618"/>
      <c r="M2424" s="618"/>
      <c r="N2424" s="700"/>
      <c r="O2424" s="700"/>
    </row>
    <row r="2425" spans="1:15" ht="12.75" customHeight="1">
      <c r="A2425" s="342"/>
      <c r="B2425" s="342"/>
      <c r="C2425" s="1062" t="s">
        <v>2108</v>
      </c>
      <c r="D2425" s="1062"/>
      <c r="E2425" s="1062"/>
      <c r="F2425" s="1062"/>
      <c r="G2425" s="389"/>
      <c r="H2425" s="617">
        <v>1</v>
      </c>
      <c r="I2425" s="617"/>
      <c r="J2425" s="617"/>
      <c r="K2425" s="618"/>
      <c r="L2425" s="618"/>
      <c r="M2425" s="618"/>
      <c r="N2425" s="700"/>
      <c r="O2425" s="700"/>
    </row>
    <row r="2426" spans="1:15" ht="12.75" customHeight="1">
      <c r="A2426" s="342"/>
      <c r="B2426" s="342"/>
      <c r="C2426" s="1062" t="s">
        <v>2109</v>
      </c>
      <c r="D2426" s="1062"/>
      <c r="E2426" s="1062"/>
      <c r="F2426" s="1062"/>
      <c r="G2426" s="389"/>
      <c r="H2426" s="617">
        <v>1</v>
      </c>
      <c r="I2426" s="617"/>
      <c r="J2426" s="617"/>
      <c r="K2426" s="618"/>
      <c r="L2426" s="618"/>
      <c r="M2426" s="618"/>
      <c r="N2426" s="700"/>
      <c r="O2426" s="700"/>
    </row>
    <row r="2427" spans="1:15" ht="12.75" customHeight="1">
      <c r="A2427" s="342"/>
      <c r="B2427" s="342"/>
      <c r="C2427" s="1062" t="s">
        <v>2110</v>
      </c>
      <c r="D2427" s="1062"/>
      <c r="E2427" s="1062"/>
      <c r="F2427" s="1062"/>
      <c r="G2427" s="389"/>
      <c r="H2427" s="617">
        <v>1</v>
      </c>
      <c r="I2427" s="617"/>
      <c r="J2427" s="617"/>
      <c r="K2427" s="618"/>
      <c r="L2427" s="618"/>
      <c r="M2427" s="618"/>
      <c r="N2427" s="700"/>
      <c r="O2427" s="700"/>
    </row>
    <row r="2428" spans="1:15" ht="12.75" customHeight="1">
      <c r="A2428" s="342"/>
      <c r="B2428" s="342"/>
      <c r="C2428" s="1062" t="s">
        <v>2111</v>
      </c>
      <c r="D2428" s="1062"/>
      <c r="E2428" s="1062"/>
      <c r="F2428" s="1062"/>
      <c r="G2428" s="389"/>
      <c r="H2428" s="617">
        <v>1</v>
      </c>
      <c r="I2428" s="617"/>
      <c r="J2428" s="617"/>
      <c r="K2428" s="618"/>
      <c r="L2428" s="618"/>
      <c r="M2428" s="618"/>
      <c r="N2428" s="700"/>
      <c r="O2428" s="700"/>
    </row>
    <row r="2429" spans="1:15" ht="12.75" customHeight="1">
      <c r="A2429" s="342"/>
      <c r="B2429" s="342"/>
      <c r="C2429" s="1062" t="s">
        <v>2112</v>
      </c>
      <c r="D2429" s="1062"/>
      <c r="E2429" s="1062"/>
      <c r="F2429" s="1062"/>
      <c r="G2429" s="389"/>
      <c r="H2429" s="617">
        <v>1</v>
      </c>
      <c r="I2429" s="617"/>
      <c r="J2429" s="617"/>
      <c r="K2429" s="618"/>
      <c r="L2429" s="618"/>
      <c r="M2429" s="618"/>
      <c r="N2429" s="700"/>
      <c r="O2429" s="700"/>
    </row>
    <row r="2430" spans="1:15" ht="12.75" customHeight="1">
      <c r="A2430" s="342"/>
      <c r="B2430" s="342"/>
      <c r="C2430" s="1062" t="s">
        <v>2113</v>
      </c>
      <c r="D2430" s="1062"/>
      <c r="E2430" s="1062"/>
      <c r="F2430" s="1062"/>
      <c r="G2430" s="389"/>
      <c r="H2430" s="617">
        <v>1</v>
      </c>
      <c r="I2430" s="617"/>
      <c r="J2430" s="617"/>
      <c r="K2430" s="618"/>
      <c r="L2430" s="618"/>
      <c r="M2430" s="618"/>
      <c r="N2430" s="700"/>
      <c r="O2430" s="700"/>
    </row>
    <row r="2431" spans="1:15" ht="12.75" customHeight="1">
      <c r="A2431" s="342"/>
      <c r="B2431" s="342"/>
      <c r="C2431" s="1062" t="s">
        <v>2114</v>
      </c>
      <c r="D2431" s="1062"/>
      <c r="E2431" s="1062"/>
      <c r="F2431" s="1062"/>
      <c r="G2431" s="389"/>
      <c r="H2431" s="617">
        <v>1</v>
      </c>
      <c r="I2431" s="617"/>
      <c r="J2431" s="617"/>
      <c r="K2431" s="618"/>
      <c r="L2431" s="618"/>
      <c r="M2431" s="618"/>
      <c r="N2431" s="700"/>
      <c r="O2431" s="700"/>
    </row>
    <row r="2432" spans="1:15" ht="12.75" customHeight="1">
      <c r="A2432" s="342"/>
      <c r="B2432" s="342"/>
      <c r="C2432" s="1062" t="s">
        <v>2115</v>
      </c>
      <c r="D2432" s="1062"/>
      <c r="E2432" s="1062"/>
      <c r="F2432" s="1062"/>
      <c r="G2432" s="389"/>
      <c r="H2432" s="617">
        <v>1</v>
      </c>
      <c r="I2432" s="617"/>
      <c r="J2432" s="617"/>
      <c r="K2432" s="618"/>
      <c r="L2432" s="618"/>
      <c r="M2432" s="618"/>
      <c r="N2432" s="700"/>
      <c r="O2432" s="700"/>
    </row>
    <row r="2433" spans="1:15" ht="42" customHeight="1">
      <c r="A2433" s="377">
        <f>ORÇAMENTO!A401</f>
        <v>670</v>
      </c>
      <c r="B2433" s="377" t="str">
        <f>ORÇAMENTO!C401</f>
        <v>15.02.03</v>
      </c>
      <c r="C2433" s="1003" t="str">
        <f>ORÇAMENTO!D401</f>
        <v>CAIXA DE PASSAGEM PARA TELEFONE, PADRÃO TELEBRAS, 40X40X12CM, EM CHAPA AÇO GALV. - FORNECIMENTO</v>
      </c>
      <c r="D2433" s="1003"/>
      <c r="E2433" s="1003"/>
      <c r="F2433" s="1003"/>
      <c r="G2433" s="377" t="str">
        <f>ORÇAMENTO!E401</f>
        <v xml:space="preserve">UN </v>
      </c>
      <c r="H2433" s="377">
        <f>H2434</f>
        <v>12</v>
      </c>
      <c r="I2433" s="379"/>
      <c r="J2433" s="377"/>
      <c r="K2433" s="379"/>
      <c r="L2433" s="377"/>
      <c r="M2433" s="379"/>
      <c r="N2433" s="377"/>
      <c r="O2433" s="379"/>
    </row>
    <row r="2434" spans="1:15" ht="12.75" customHeight="1">
      <c r="A2434" s="342"/>
      <c r="B2434" s="342"/>
      <c r="C2434" s="1062" t="s">
        <v>2116</v>
      </c>
      <c r="D2434" s="1062"/>
      <c r="E2434" s="1062"/>
      <c r="F2434" s="1062"/>
      <c r="G2434" s="389"/>
      <c r="H2434" s="617">
        <v>12</v>
      </c>
      <c r="I2434" s="617"/>
      <c r="J2434" s="617"/>
      <c r="K2434" s="618"/>
      <c r="L2434" s="618"/>
      <c r="M2434" s="618"/>
      <c r="N2434" s="700"/>
      <c r="O2434" s="700"/>
    </row>
    <row r="2435" spans="1:15" ht="38.25" customHeight="1">
      <c r="A2435" s="377">
        <f>ORÇAMENTO!A402</f>
        <v>8188</v>
      </c>
      <c r="B2435" s="377" t="str">
        <f>ORÇAMENTO!C402</f>
        <v>15.02.04</v>
      </c>
      <c r="C2435" s="1003" t="str">
        <f>ORÇAMENTO!D402</f>
        <v>FORNECIMENTO E INSTALAÇÃO DE ELETROCALHA PERFURADA 38 X 38 X 6000MM, CHAPA 16 ( REF.: MOPA OU SIMILAR)</v>
      </c>
      <c r="D2435" s="1003"/>
      <c r="E2435" s="1003"/>
      <c r="F2435" s="1003"/>
      <c r="G2435" s="377" t="str">
        <f>ORÇAMENTO!E402</f>
        <v>M</v>
      </c>
      <c r="H2435" s="377"/>
      <c r="I2435" s="379"/>
      <c r="J2435" s="395">
        <f>SUM(J2436)</f>
        <v>164.61600000000001</v>
      </c>
      <c r="K2435" s="379"/>
      <c r="L2435" s="377"/>
      <c r="M2435" s="379"/>
      <c r="N2435" s="377"/>
      <c r="O2435" s="379"/>
    </row>
    <row r="2436" spans="1:15" ht="12.75" customHeight="1">
      <c r="A2436" s="342"/>
      <c r="B2436" s="342"/>
      <c r="C2436" s="1062" t="s">
        <v>2117</v>
      </c>
      <c r="D2436" s="1062"/>
      <c r="E2436" s="1062"/>
      <c r="F2436" s="1062"/>
      <c r="G2436" s="389"/>
      <c r="H2436" s="617"/>
      <c r="I2436" s="617"/>
      <c r="J2436" s="588">
        <f>137.18*1.2</f>
        <v>164.61600000000001</v>
      </c>
      <c r="K2436" s="618"/>
      <c r="L2436" s="618"/>
      <c r="M2436" s="618"/>
      <c r="N2436" s="700"/>
      <c r="O2436" s="700"/>
    </row>
    <row r="2437" spans="1:15" ht="24.75" customHeight="1">
      <c r="A2437" s="377">
        <f>ORÇAMENTO!A403</f>
        <v>9987</v>
      </c>
      <c r="B2437" s="377" t="str">
        <f>ORÇAMENTO!C403</f>
        <v>15.02.05</v>
      </c>
      <c r="C2437" s="1003" t="str">
        <f>ORÇAMENTO!D403</f>
        <v>CURVA HORIZONTAL 38 X 38 MM PARA ELETROCALHA METÁLICA, COM ÂNGULO 90° (REF.: MOPA OU SIMILAR)</v>
      </c>
      <c r="D2437" s="1003"/>
      <c r="E2437" s="1003"/>
      <c r="F2437" s="1003"/>
      <c r="G2437" s="377" t="str">
        <f>ORÇAMENTO!E403</f>
        <v xml:space="preserve">UN </v>
      </c>
      <c r="H2437" s="377">
        <f>H2438</f>
        <v>20</v>
      </c>
      <c r="I2437" s="379"/>
      <c r="J2437" s="377"/>
      <c r="K2437" s="379"/>
      <c r="L2437" s="377"/>
      <c r="M2437" s="379"/>
      <c r="N2437" s="377"/>
      <c r="O2437" s="379"/>
    </row>
    <row r="2438" spans="1:15" ht="12.75" customHeight="1">
      <c r="A2438" s="342"/>
      <c r="B2438" s="342"/>
      <c r="C2438" s="1062" t="s">
        <v>2117</v>
      </c>
      <c r="D2438" s="1062"/>
      <c r="E2438" s="1062"/>
      <c r="F2438" s="1062"/>
      <c r="G2438" s="389"/>
      <c r="H2438" s="617">
        <v>20</v>
      </c>
      <c r="I2438" s="617"/>
      <c r="J2438" s="617"/>
      <c r="K2438" s="618"/>
      <c r="L2438" s="618"/>
      <c r="M2438" s="618"/>
      <c r="N2438" s="700"/>
      <c r="O2438" s="700"/>
    </row>
    <row r="2439" spans="1:15" ht="12.75" customHeight="1">
      <c r="A2439" s="377">
        <f>ORÇAMENTO!A404</f>
        <v>11405</v>
      </c>
      <c r="B2439" s="377" t="str">
        <f>ORÇAMENTO!C404</f>
        <v>15.02.06</v>
      </c>
      <c r="C2439" s="1003" t="str">
        <f>ORÇAMENTO!D404</f>
        <v>JUNÇÃO INTERNA TIPO "I" PARA PERFILADO, ( REF.: MOPA OU SIMILAR)</v>
      </c>
      <c r="D2439" s="1003"/>
      <c r="E2439" s="1003"/>
      <c r="F2439" s="1003"/>
      <c r="G2439" s="377" t="str">
        <f>ORÇAMENTO!E404</f>
        <v xml:space="preserve">UN </v>
      </c>
      <c r="H2439" s="377">
        <f>H2440</f>
        <v>56</v>
      </c>
      <c r="I2439" s="379"/>
      <c r="J2439" s="377"/>
      <c r="K2439" s="379"/>
      <c r="L2439" s="377"/>
      <c r="M2439" s="379"/>
      <c r="N2439" s="377"/>
      <c r="O2439" s="379"/>
    </row>
    <row r="2440" spans="1:15" ht="12.75" customHeight="1">
      <c r="A2440" s="342"/>
      <c r="B2440" s="342"/>
      <c r="C2440" s="1062" t="s">
        <v>2117</v>
      </c>
      <c r="D2440" s="1062"/>
      <c r="E2440" s="1062"/>
      <c r="F2440" s="1062"/>
      <c r="G2440" s="389"/>
      <c r="H2440" s="617">
        <v>56</v>
      </c>
      <c r="I2440" s="617"/>
      <c r="J2440" s="617"/>
      <c r="K2440" s="618"/>
      <c r="L2440" s="618"/>
      <c r="M2440" s="618"/>
      <c r="N2440" s="700"/>
      <c r="O2440" s="700"/>
    </row>
    <row r="2441" spans="1:15" ht="12.75" customHeight="1">
      <c r="A2441" s="377">
        <f>ORÇAMENTO!A405</f>
        <v>12558</v>
      </c>
      <c r="B2441" s="377" t="str">
        <f>ORÇAMENTO!C405</f>
        <v>15.02.07</v>
      </c>
      <c r="C2441" s="1003" t="str">
        <f>ORÇAMENTO!D405</f>
        <v>JUNÇÃO INTERNA TIPO "X" PARA PERFILADO, ( REF.: MOPA OU SIMILAR)</v>
      </c>
      <c r="D2441" s="1003"/>
      <c r="E2441" s="1003"/>
      <c r="F2441" s="1003"/>
      <c r="G2441" s="377" t="str">
        <f>ORÇAMENTO!E405</f>
        <v xml:space="preserve">UN </v>
      </c>
      <c r="H2441" s="377">
        <f>H2442</f>
        <v>6</v>
      </c>
      <c r="I2441" s="379"/>
      <c r="J2441" s="377"/>
      <c r="K2441" s="379"/>
      <c r="L2441" s="377"/>
      <c r="M2441" s="379"/>
      <c r="N2441" s="377"/>
      <c r="O2441" s="379"/>
    </row>
    <row r="2442" spans="1:15" ht="12.75" customHeight="1">
      <c r="A2442" s="342"/>
      <c r="B2442" s="342"/>
      <c r="C2442" s="1062" t="s">
        <v>2117</v>
      </c>
      <c r="D2442" s="1062"/>
      <c r="E2442" s="1062"/>
      <c r="F2442" s="1062"/>
      <c r="G2442" s="389"/>
      <c r="H2442" s="617">
        <v>6</v>
      </c>
      <c r="I2442" s="617"/>
      <c r="J2442" s="617"/>
      <c r="K2442" s="618"/>
      <c r="L2442" s="618"/>
      <c r="M2442" s="618"/>
      <c r="N2442" s="700"/>
      <c r="O2442" s="700"/>
    </row>
    <row r="2443" spans="1:15" ht="12.75" customHeight="1">
      <c r="A2443" s="377">
        <f>ORÇAMENTO!A406</f>
        <v>9673</v>
      </c>
      <c r="B2443" s="377" t="str">
        <f>ORÇAMENTO!C406</f>
        <v>15.02.08</v>
      </c>
      <c r="C2443" s="1003" t="str">
        <f>ORÇAMENTO!D406</f>
        <v>GANCHO LONGO PARA PERFILADO, ( REF.: MOPA OU SIMILAR)</v>
      </c>
      <c r="D2443" s="1003"/>
      <c r="E2443" s="1003"/>
      <c r="F2443" s="1003"/>
      <c r="G2443" s="377" t="str">
        <f>ORÇAMENTO!E406</f>
        <v xml:space="preserve">UN </v>
      </c>
      <c r="H2443" s="377">
        <f>H2444</f>
        <v>166</v>
      </c>
      <c r="I2443" s="379"/>
      <c r="J2443" s="377"/>
      <c r="K2443" s="379"/>
      <c r="L2443" s="377"/>
      <c r="M2443" s="379"/>
      <c r="N2443" s="377"/>
      <c r="O2443" s="379"/>
    </row>
    <row r="2444" spans="1:15" ht="12.75" customHeight="1">
      <c r="A2444" s="342"/>
      <c r="B2444" s="342"/>
      <c r="C2444" s="1062" t="s">
        <v>2117</v>
      </c>
      <c r="D2444" s="1062"/>
      <c r="E2444" s="1062"/>
      <c r="F2444" s="1062"/>
      <c r="G2444" s="389"/>
      <c r="H2444" s="617">
        <v>166</v>
      </c>
      <c r="I2444" s="617"/>
      <c r="J2444" s="617"/>
      <c r="K2444" s="618"/>
      <c r="L2444" s="618"/>
      <c r="M2444" s="618"/>
      <c r="N2444" s="700"/>
      <c r="O2444" s="700"/>
    </row>
    <row r="2445" spans="1:15" ht="12.75" customHeight="1">
      <c r="A2445" s="377">
        <f>ORÇAMENTO!A407</f>
        <v>12557</v>
      </c>
      <c r="B2445" s="377" t="str">
        <f>ORÇAMENTO!C407</f>
        <v>15.02.09</v>
      </c>
      <c r="C2445" s="1003" t="str">
        <f>ORÇAMENTO!D407</f>
        <v>JUNÇÃO INTERNA TIPO "T" PARA PERFILADO, ( REF.: MOPA OU SIMILAR)</v>
      </c>
      <c r="D2445" s="1003"/>
      <c r="E2445" s="1003"/>
      <c r="F2445" s="1003"/>
      <c r="G2445" s="377" t="str">
        <f>ORÇAMENTO!E407</f>
        <v xml:space="preserve">UN </v>
      </c>
      <c r="H2445" s="377">
        <f>H2446</f>
        <v>8</v>
      </c>
      <c r="I2445" s="379"/>
      <c r="J2445" s="377"/>
      <c r="K2445" s="379"/>
      <c r="L2445" s="377"/>
      <c r="M2445" s="379"/>
      <c r="N2445" s="377"/>
      <c r="O2445" s="379"/>
    </row>
    <row r="2446" spans="1:15" ht="12.75" customHeight="1">
      <c r="A2446" s="342"/>
      <c r="B2446" s="342"/>
      <c r="C2446" s="1062" t="s">
        <v>2117</v>
      </c>
      <c r="D2446" s="1062"/>
      <c r="E2446" s="1062"/>
      <c r="F2446" s="1062"/>
      <c r="G2446" s="389"/>
      <c r="H2446" s="617">
        <v>8</v>
      </c>
      <c r="I2446" s="617"/>
      <c r="J2446" s="617"/>
      <c r="K2446" s="618"/>
      <c r="L2446" s="618"/>
      <c r="M2446" s="618"/>
      <c r="N2446" s="700"/>
      <c r="O2446" s="700"/>
    </row>
    <row r="2447" spans="1:15" ht="12.75" customHeight="1">
      <c r="A2447" s="377">
        <f>ORÇAMENTO!A408</f>
        <v>12578</v>
      </c>
      <c r="B2447" s="377" t="str">
        <f>ORÇAMENTO!C408</f>
        <v>15.02.10</v>
      </c>
      <c r="C2447" s="1003" t="str">
        <f>ORÇAMENTO!D408</f>
        <v>SAÍDA PARA PERFILADO 38X38MM (MOPA OU SIMILAR)</v>
      </c>
      <c r="D2447" s="1003"/>
      <c r="E2447" s="1003"/>
      <c r="F2447" s="1003"/>
      <c r="G2447" s="377" t="str">
        <f>ORÇAMENTO!E408</f>
        <v xml:space="preserve">UN </v>
      </c>
      <c r="H2447" s="377">
        <f>H2448</f>
        <v>68</v>
      </c>
      <c r="I2447" s="379"/>
      <c r="J2447" s="377"/>
      <c r="K2447" s="379"/>
      <c r="L2447" s="377"/>
      <c r="M2447" s="379"/>
      <c r="N2447" s="377"/>
      <c r="O2447" s="379"/>
    </row>
    <row r="2448" spans="1:15" ht="12.75" customHeight="1">
      <c r="A2448" s="342"/>
      <c r="B2448" s="342"/>
      <c r="C2448" s="1062" t="s">
        <v>2117</v>
      </c>
      <c r="D2448" s="1062"/>
      <c r="E2448" s="1062"/>
      <c r="F2448" s="1062"/>
      <c r="G2448" s="389"/>
      <c r="H2448" s="617">
        <v>68</v>
      </c>
      <c r="I2448" s="617"/>
      <c r="J2448" s="617"/>
      <c r="K2448" s="618"/>
      <c r="L2448" s="618"/>
      <c r="M2448" s="618"/>
      <c r="N2448" s="700"/>
      <c r="O2448" s="700"/>
    </row>
    <row r="2449" spans="1:15">
      <c r="A2449" s="377">
        <f>ORÇAMENTO!A409</f>
        <v>4190</v>
      </c>
      <c r="B2449" s="377" t="str">
        <f>ORÇAMENTO!C409</f>
        <v>15.02.11</v>
      </c>
      <c r="C2449" s="1047" t="str">
        <f>ORÇAMENTO!D409</f>
        <v>CHUMBADOR PARABOLT INOX 3/8" X 5", FORNECIMENTO</v>
      </c>
      <c r="D2449" s="1063"/>
      <c r="E2449" s="1063"/>
      <c r="F2449" s="1064"/>
      <c r="G2449" s="377" t="str">
        <f>ORÇAMENTO!E409</f>
        <v xml:space="preserve">UN </v>
      </c>
      <c r="H2449" s="377">
        <f>H2450</f>
        <v>166</v>
      </c>
      <c r="I2449" s="379"/>
      <c r="J2449" s="377"/>
      <c r="K2449" s="379"/>
      <c r="L2449" s="377"/>
      <c r="M2449" s="379"/>
      <c r="N2449" s="377"/>
      <c r="O2449" s="379"/>
    </row>
    <row r="2450" spans="1:15" ht="12.75" customHeight="1">
      <c r="A2450" s="342"/>
      <c r="B2450" s="342"/>
      <c r="C2450" s="1062" t="s">
        <v>2117</v>
      </c>
      <c r="D2450" s="1062"/>
      <c r="E2450" s="1062"/>
      <c r="F2450" s="1062"/>
      <c r="G2450" s="389"/>
      <c r="H2450" s="617">
        <v>166</v>
      </c>
      <c r="I2450" s="617"/>
      <c r="J2450" s="617"/>
      <c r="K2450" s="618"/>
      <c r="L2450" s="618"/>
      <c r="M2450" s="618"/>
      <c r="N2450" s="700"/>
      <c r="O2450" s="700"/>
    </row>
    <row r="2451" spans="1:15" ht="25.9" customHeight="1">
      <c r="A2451" s="377">
        <f>ORÇAMENTO!A410</f>
        <v>666</v>
      </c>
      <c r="B2451" s="377" t="str">
        <f>ORÇAMENTO!C410</f>
        <v>15.02.12</v>
      </c>
      <c r="C2451" s="1003" t="str">
        <f>ORÇAMENTO!D410</f>
        <v>CAIXA DE PASSAGEM 30X30CM EM CHAPA DE AÇO GALVANIZADO - FORNECIMENTO</v>
      </c>
      <c r="D2451" s="1003"/>
      <c r="E2451" s="1003"/>
      <c r="F2451" s="1003"/>
      <c r="G2451" s="377" t="str">
        <f>ORÇAMENTO!E410</f>
        <v xml:space="preserve">UN </v>
      </c>
      <c r="H2451" s="377">
        <f>H2452</f>
        <v>4</v>
      </c>
      <c r="I2451" s="379"/>
      <c r="J2451" s="377"/>
      <c r="K2451" s="379"/>
      <c r="L2451" s="377"/>
      <c r="M2451" s="379"/>
      <c r="N2451" s="377"/>
      <c r="O2451" s="379"/>
    </row>
    <row r="2452" spans="1:15" ht="12.75" customHeight="1">
      <c r="A2452" s="342"/>
      <c r="B2452" s="342"/>
      <c r="C2452" s="1062" t="s">
        <v>2118</v>
      </c>
      <c r="D2452" s="1062"/>
      <c r="E2452" s="1062"/>
      <c r="F2452" s="1062"/>
      <c r="G2452" s="389"/>
      <c r="H2452" s="617">
        <v>4</v>
      </c>
      <c r="I2452" s="617"/>
      <c r="J2452" s="617"/>
      <c r="K2452" s="618"/>
      <c r="L2452" s="618"/>
      <c r="M2452" s="618"/>
      <c r="N2452" s="700"/>
      <c r="O2452" s="700"/>
    </row>
    <row r="2453" spans="1:15" ht="28.9" customHeight="1">
      <c r="A2453" s="377">
        <f>ORÇAMENTO!A411</f>
        <v>670</v>
      </c>
      <c r="B2453" s="377" t="str">
        <f>ORÇAMENTO!C411</f>
        <v>15.02.13</v>
      </c>
      <c r="C2453" s="1003" t="str">
        <f>ORÇAMENTO!D411</f>
        <v>CAIXA DE PASSAGEM PARA TELEFONE, PADRÃO TELEBRAS, 40X40X12CM, EM CHAPA AÇO GALV. - FORNECIMENTO</v>
      </c>
      <c r="D2453" s="1003"/>
      <c r="E2453" s="1003"/>
      <c r="F2453" s="1003"/>
      <c r="G2453" s="377" t="str">
        <f>ORÇAMENTO!E411</f>
        <v xml:space="preserve">UN </v>
      </c>
      <c r="H2453" s="377">
        <f>H2454</f>
        <v>4</v>
      </c>
      <c r="I2453" s="379"/>
      <c r="J2453" s="377"/>
      <c r="K2453" s="379"/>
      <c r="L2453" s="377"/>
      <c r="M2453" s="379"/>
      <c r="N2453" s="377"/>
      <c r="O2453" s="379"/>
    </row>
    <row r="2454" spans="1:15" ht="12.75" customHeight="1">
      <c r="A2454" s="342"/>
      <c r="B2454" s="342"/>
      <c r="C2454" s="1015" t="s">
        <v>2118</v>
      </c>
      <c r="D2454" s="1015"/>
      <c r="E2454" s="1015"/>
      <c r="F2454" s="1015"/>
      <c r="G2454" s="389"/>
      <c r="H2454" s="617">
        <v>4</v>
      </c>
      <c r="I2454" s="617"/>
      <c r="J2454" s="617"/>
      <c r="K2454" s="618"/>
      <c r="L2454" s="618"/>
      <c r="M2454" s="618"/>
      <c r="N2454" s="700"/>
      <c r="O2454" s="700"/>
    </row>
    <row r="2455" spans="1:15" ht="25.9" customHeight="1">
      <c r="A2455" s="377">
        <f>ORÇAMENTO!A412</f>
        <v>2799</v>
      </c>
      <c r="B2455" s="377" t="str">
        <f>ORÇAMENTO!C412</f>
        <v>15.02.14</v>
      </c>
      <c r="C2455" s="1003" t="str">
        <f>ORÇAMENTO!D412</f>
        <v>CAIXA DE PASSAGEM EM ALVENARIA DE TIJOLOS MACIÇOS DIM. INT. = 0,60X0,60X1,00M</v>
      </c>
      <c r="D2455" s="1003"/>
      <c r="E2455" s="1003"/>
      <c r="F2455" s="1003"/>
      <c r="G2455" s="377" t="str">
        <f>ORÇAMENTO!E412</f>
        <v xml:space="preserve">UN </v>
      </c>
      <c r="H2455" s="377">
        <f>H2456</f>
        <v>6</v>
      </c>
      <c r="I2455" s="379"/>
      <c r="J2455" s="377"/>
      <c r="K2455" s="379"/>
      <c r="L2455" s="377"/>
      <c r="M2455" s="379"/>
      <c r="N2455" s="377"/>
      <c r="O2455" s="379"/>
    </row>
    <row r="2456" spans="1:15" ht="12.75" customHeight="1">
      <c r="A2456" s="342"/>
      <c r="B2456" s="342"/>
      <c r="C2456" s="1015" t="s">
        <v>2118</v>
      </c>
      <c r="D2456" s="1015"/>
      <c r="E2456" s="1015"/>
      <c r="F2456" s="1015"/>
      <c r="G2456" s="389"/>
      <c r="H2456" s="617">
        <v>6</v>
      </c>
      <c r="I2456" s="617"/>
      <c r="J2456" s="617"/>
      <c r="K2456" s="618"/>
      <c r="L2456" s="618"/>
      <c r="M2456" s="618"/>
      <c r="N2456" s="700"/>
      <c r="O2456" s="700"/>
    </row>
    <row r="2457" spans="1:15" ht="27.6" customHeight="1">
      <c r="A2457" s="377">
        <f>ORÇAMENTO!A413</f>
        <v>698</v>
      </c>
      <c r="B2457" s="377" t="str">
        <f>ORÇAMENTO!C413</f>
        <v>15.02.15</v>
      </c>
      <c r="C2457" s="1047" t="str">
        <f>ORÇAMENTO!D413</f>
        <v>FORNECIMENTO E COLOCAÇÃO DE ANILHA PARA IDENTIFICAÇÃO</v>
      </c>
      <c r="D2457" s="1063"/>
      <c r="E2457" s="1063"/>
      <c r="F2457" s="1064"/>
      <c r="G2457" s="377" t="str">
        <f>ORÇAMENTO!E413</f>
        <v xml:space="preserve">UN </v>
      </c>
      <c r="H2457" s="377">
        <f>SUM(H2458:H2464)</f>
        <v>2340</v>
      </c>
      <c r="I2457" s="379"/>
      <c r="J2457" s="377"/>
      <c r="K2457" s="379"/>
      <c r="L2457" s="377"/>
      <c r="M2457" s="379"/>
      <c r="N2457" s="377"/>
      <c r="O2457" s="379"/>
    </row>
    <row r="2458" spans="1:15" ht="24.75" customHeight="1">
      <c r="A2458" s="342"/>
      <c r="B2458" s="342"/>
      <c r="C2458" s="1025" t="s">
        <v>2119</v>
      </c>
      <c r="D2458" s="1025"/>
      <c r="E2458" s="1025"/>
      <c r="F2458" s="1025"/>
      <c r="G2458" s="389"/>
      <c r="H2458" s="475">
        <v>120</v>
      </c>
      <c r="I2458" s="617"/>
      <c r="J2458" s="617"/>
      <c r="K2458" s="618"/>
      <c r="L2458" s="618"/>
      <c r="M2458" s="618"/>
      <c r="N2458" s="700"/>
      <c r="O2458" s="700"/>
    </row>
    <row r="2459" spans="1:15" ht="24.75" customHeight="1">
      <c r="A2459" s="342"/>
      <c r="B2459" s="342"/>
      <c r="C2459" s="1025" t="s">
        <v>2120</v>
      </c>
      <c r="D2459" s="1025"/>
      <c r="E2459" s="1025"/>
      <c r="F2459" s="1025"/>
      <c r="G2459" s="389"/>
      <c r="H2459" s="475">
        <v>580</v>
      </c>
      <c r="I2459" s="617"/>
      <c r="J2459" s="617"/>
      <c r="K2459" s="618"/>
      <c r="L2459" s="618"/>
      <c r="M2459" s="618"/>
      <c r="N2459" s="700"/>
      <c r="O2459" s="700"/>
    </row>
    <row r="2460" spans="1:15" ht="24.75" customHeight="1">
      <c r="A2460" s="342"/>
      <c r="B2460" s="342"/>
      <c r="C2460" s="1025" t="s">
        <v>2121</v>
      </c>
      <c r="D2460" s="1025"/>
      <c r="E2460" s="1025"/>
      <c r="F2460" s="1025"/>
      <c r="G2460" s="389"/>
      <c r="H2460" s="475">
        <v>1080</v>
      </c>
      <c r="I2460" s="617"/>
      <c r="J2460" s="617"/>
      <c r="K2460" s="618"/>
      <c r="L2460" s="618"/>
      <c r="M2460" s="618"/>
      <c r="N2460" s="700"/>
      <c r="O2460" s="700"/>
    </row>
    <row r="2461" spans="1:15" ht="24.75" customHeight="1">
      <c r="A2461" s="342"/>
      <c r="B2461" s="342"/>
      <c r="C2461" s="1025" t="s">
        <v>2122</v>
      </c>
      <c r="D2461" s="1025"/>
      <c r="E2461" s="1025"/>
      <c r="F2461" s="1025"/>
      <c r="G2461" s="389"/>
      <c r="H2461" s="475">
        <v>240</v>
      </c>
      <c r="I2461" s="617"/>
      <c r="J2461" s="617"/>
      <c r="K2461" s="618"/>
      <c r="L2461" s="618"/>
      <c r="M2461" s="618"/>
      <c r="N2461" s="700"/>
      <c r="O2461" s="700"/>
    </row>
    <row r="2462" spans="1:15" ht="24.75" customHeight="1">
      <c r="A2462" s="342"/>
      <c r="B2462" s="342"/>
      <c r="C2462" s="1025" t="s">
        <v>2123</v>
      </c>
      <c r="D2462" s="1025"/>
      <c r="E2462" s="1025"/>
      <c r="F2462" s="1025"/>
      <c r="G2462" s="389"/>
      <c r="H2462" s="475">
        <v>120</v>
      </c>
      <c r="I2462" s="617"/>
      <c r="J2462" s="617"/>
      <c r="K2462" s="618"/>
      <c r="L2462" s="618"/>
      <c r="M2462" s="618"/>
      <c r="N2462" s="700"/>
      <c r="O2462" s="700"/>
    </row>
    <row r="2463" spans="1:15" ht="24.75" customHeight="1">
      <c r="A2463" s="342"/>
      <c r="B2463" s="342"/>
      <c r="C2463" s="1025" t="s">
        <v>2124</v>
      </c>
      <c r="D2463" s="1025"/>
      <c r="E2463" s="1025"/>
      <c r="F2463" s="1025"/>
      <c r="G2463" s="389"/>
      <c r="H2463" s="475">
        <v>40</v>
      </c>
      <c r="I2463" s="617"/>
      <c r="J2463" s="617"/>
      <c r="K2463" s="618"/>
      <c r="L2463" s="618"/>
      <c r="M2463" s="618"/>
      <c r="N2463" s="700"/>
      <c r="O2463" s="700"/>
    </row>
    <row r="2464" spans="1:15" ht="24.75" customHeight="1">
      <c r="A2464" s="342"/>
      <c r="B2464" s="342"/>
      <c r="C2464" s="1025" t="s">
        <v>2125</v>
      </c>
      <c r="D2464" s="1025"/>
      <c r="E2464" s="1025"/>
      <c r="F2464" s="1025"/>
      <c r="G2464" s="389"/>
      <c r="H2464" s="475">
        <v>160</v>
      </c>
      <c r="I2464" s="617"/>
      <c r="J2464" s="617"/>
      <c r="K2464" s="618"/>
      <c r="L2464" s="618"/>
      <c r="M2464" s="618"/>
      <c r="N2464" s="700"/>
      <c r="O2464" s="700"/>
    </row>
    <row r="2465" spans="1:15" ht="12.75" customHeight="1">
      <c r="A2465" s="342"/>
      <c r="B2465" s="342"/>
      <c r="C2465" s="473"/>
      <c r="D2465" s="125"/>
      <c r="E2465" s="125"/>
      <c r="F2465" s="126"/>
      <c r="G2465" s="389"/>
      <c r="H2465" s="617"/>
      <c r="I2465" s="617"/>
      <c r="J2465" s="617"/>
      <c r="K2465" s="618"/>
      <c r="L2465" s="618"/>
      <c r="M2465" s="618"/>
      <c r="N2465" s="700"/>
      <c r="O2465" s="700"/>
    </row>
    <row r="2466" spans="1:15" ht="25.15" customHeight="1">
      <c r="A2466" s="377">
        <f>ORÇAMENTO!A414</f>
        <v>8005</v>
      </c>
      <c r="B2466" s="377" t="str">
        <f>ORÇAMENTO!C414</f>
        <v>15.02.16</v>
      </c>
      <c r="C2466" s="1003" t="str">
        <f>ORÇAMENTO!D414</f>
        <v>TERMINAL DE COMPRESSÃO PARA CABO DE 1,50 MM² - FORNECIMENTO E INSTALAÇÃO</v>
      </c>
      <c r="D2466" s="1003"/>
      <c r="E2466" s="1003"/>
      <c r="F2466" s="1003"/>
      <c r="G2466" s="377" t="str">
        <f>ORÇAMENTO!E414</f>
        <v xml:space="preserve">UN </v>
      </c>
      <c r="H2466" s="377">
        <f>SUM(H2467:H2468)</f>
        <v>12</v>
      </c>
      <c r="I2466" s="379"/>
      <c r="J2466" s="377"/>
      <c r="K2466" s="379"/>
      <c r="L2466" s="377"/>
      <c r="M2466" s="379"/>
      <c r="N2466" s="377"/>
      <c r="O2466" s="379"/>
    </row>
    <row r="2467" spans="1:15" ht="12.75" customHeight="1">
      <c r="A2467" s="342"/>
      <c r="B2467" s="342"/>
      <c r="C2467" s="1025" t="s">
        <v>2126</v>
      </c>
      <c r="D2467" s="1025"/>
      <c r="E2467" s="1025"/>
      <c r="F2467" s="1025"/>
      <c r="G2467" s="389"/>
      <c r="H2467" s="617">
        <v>12</v>
      </c>
      <c r="I2467" s="617"/>
      <c r="J2467" s="617"/>
      <c r="K2467" s="618"/>
      <c r="L2467" s="618"/>
      <c r="M2467" s="618"/>
      <c r="N2467" s="700"/>
      <c r="O2467" s="700"/>
    </row>
    <row r="2468" spans="1:15" ht="12.75" customHeight="1">
      <c r="A2468" s="342"/>
      <c r="B2468" s="342"/>
      <c r="C2468" s="1025"/>
      <c r="D2468" s="1025"/>
      <c r="E2468" s="1025"/>
      <c r="F2468" s="1025"/>
      <c r="G2468" s="389"/>
      <c r="H2468" s="617"/>
      <c r="I2468" s="617"/>
      <c r="J2468" s="617"/>
      <c r="K2468" s="618"/>
      <c r="L2468" s="618"/>
      <c r="M2468" s="618"/>
      <c r="N2468" s="700"/>
      <c r="O2468" s="700"/>
    </row>
    <row r="2469" spans="1:15" ht="25.15" customHeight="1">
      <c r="A2469" s="377">
        <f>ORÇAMENTO!A415</f>
        <v>8006</v>
      </c>
      <c r="B2469" s="377" t="str">
        <f>ORÇAMENTO!C415</f>
        <v>15.02.17</v>
      </c>
      <c r="C2469" s="1003" t="str">
        <f>ORÇAMENTO!D415</f>
        <v>TERMINAL DE COMPRESSÃO PARA CABO DE 2,50 MM² - FORNECIMENTO E INSTALAÇÃO</v>
      </c>
      <c r="D2469" s="1003"/>
      <c r="E2469" s="1003"/>
      <c r="F2469" s="1003"/>
      <c r="G2469" s="377" t="str">
        <f>ORÇAMENTO!E415</f>
        <v xml:space="preserve">UN </v>
      </c>
      <c r="H2469" s="377">
        <f>SUM(H2470:H2471)</f>
        <v>58</v>
      </c>
      <c r="I2469" s="379"/>
      <c r="J2469" s="377"/>
      <c r="K2469" s="379"/>
      <c r="L2469" s="377"/>
      <c r="M2469" s="379"/>
      <c r="N2469" s="377"/>
      <c r="O2469" s="379"/>
    </row>
    <row r="2470" spans="1:15" ht="12.75" customHeight="1">
      <c r="A2470" s="342"/>
      <c r="B2470" s="342"/>
      <c r="C2470" s="1025" t="s">
        <v>2126</v>
      </c>
      <c r="D2470" s="1025"/>
      <c r="E2470" s="1025"/>
      <c r="F2470" s="1025"/>
      <c r="G2470" s="389"/>
      <c r="H2470" s="617">
        <v>58</v>
      </c>
      <c r="I2470" s="617"/>
      <c r="J2470" s="617"/>
      <c r="K2470" s="618"/>
      <c r="L2470" s="618"/>
      <c r="M2470" s="618"/>
      <c r="N2470" s="700"/>
      <c r="O2470" s="700"/>
    </row>
    <row r="2471" spans="1:15" ht="12.75" customHeight="1">
      <c r="A2471" s="342"/>
      <c r="B2471" s="342"/>
      <c r="C2471" s="1025"/>
      <c r="D2471" s="1025"/>
      <c r="E2471" s="1025"/>
      <c r="F2471" s="1025"/>
      <c r="G2471" s="389"/>
      <c r="H2471" s="617"/>
      <c r="I2471" s="617"/>
      <c r="J2471" s="617"/>
      <c r="K2471" s="618"/>
      <c r="L2471" s="618"/>
      <c r="M2471" s="618"/>
      <c r="N2471" s="700"/>
      <c r="O2471" s="700"/>
    </row>
    <row r="2472" spans="1:15" ht="24.6" customHeight="1">
      <c r="A2472" s="377">
        <f>ORÇAMENTO!A416</f>
        <v>8007</v>
      </c>
      <c r="B2472" s="377" t="str">
        <f>ORÇAMENTO!C416</f>
        <v>15.02.18</v>
      </c>
      <c r="C2472" s="1003" t="str">
        <f>ORÇAMENTO!D416</f>
        <v>TERMINAL DE COMPRESSÃO PARA CABO DE 4 MM² - FORNECIMENTO E INSTALAÇÃO</v>
      </c>
      <c r="D2472" s="1003"/>
      <c r="E2472" s="1003"/>
      <c r="F2472" s="1003"/>
      <c r="G2472" s="377" t="str">
        <f>ORÇAMENTO!E416</f>
        <v xml:space="preserve">UN </v>
      </c>
      <c r="H2472" s="377">
        <f>SUM(H2473:H2474)</f>
        <v>108</v>
      </c>
      <c r="I2472" s="379"/>
      <c r="J2472" s="377"/>
      <c r="K2472" s="379"/>
      <c r="L2472" s="377"/>
      <c r="M2472" s="379"/>
      <c r="N2472" s="377"/>
      <c r="O2472" s="379"/>
    </row>
    <row r="2473" spans="1:15" ht="12.75" customHeight="1">
      <c r="A2473" s="342"/>
      <c r="B2473" s="342"/>
      <c r="C2473" s="1025" t="s">
        <v>2126</v>
      </c>
      <c r="D2473" s="1025"/>
      <c r="E2473" s="1025"/>
      <c r="F2473" s="1025"/>
      <c r="G2473" s="389"/>
      <c r="H2473" s="617">
        <v>108</v>
      </c>
      <c r="I2473" s="617"/>
      <c r="J2473" s="617"/>
      <c r="K2473" s="618"/>
      <c r="L2473" s="618"/>
      <c r="M2473" s="618"/>
      <c r="N2473" s="700"/>
      <c r="O2473" s="700"/>
    </row>
    <row r="2474" spans="1:15" ht="12.75" customHeight="1">
      <c r="A2474" s="342"/>
      <c r="B2474" s="342"/>
      <c r="C2474" s="1103"/>
      <c r="D2474" s="1103"/>
      <c r="E2474" s="1103"/>
      <c r="F2474" s="1103"/>
      <c r="G2474" s="389"/>
      <c r="H2474" s="617"/>
      <c r="I2474" s="617"/>
      <c r="J2474" s="617"/>
      <c r="K2474" s="618"/>
      <c r="L2474" s="618"/>
      <c r="M2474" s="618"/>
      <c r="N2474" s="700"/>
      <c r="O2474" s="700"/>
    </row>
    <row r="2475" spans="1:15" ht="38.25" customHeight="1">
      <c r="A2475" s="377">
        <f>ORÇAMENTO!A417</f>
        <v>7925</v>
      </c>
      <c r="B2475" s="377" t="str">
        <f>ORÇAMENTO!C417</f>
        <v>15.02.19</v>
      </c>
      <c r="C2475" s="1003" t="str">
        <f>ORÇAMENTO!D417</f>
        <v>TERMINAL DE COMPRESSÃO PARA CABO DE 6 MM² - FORNECIMENTO E INSTALAÇÃO</v>
      </c>
      <c r="D2475" s="1003"/>
      <c r="E2475" s="1003"/>
      <c r="F2475" s="1003"/>
      <c r="G2475" s="377" t="str">
        <f>ORÇAMENTO!E417</f>
        <v xml:space="preserve">UN </v>
      </c>
      <c r="H2475" s="377">
        <f>SUM(H2476:H2477)</f>
        <v>24</v>
      </c>
      <c r="I2475" s="379"/>
      <c r="J2475" s="377"/>
      <c r="K2475" s="379"/>
      <c r="L2475" s="377"/>
      <c r="M2475" s="379"/>
      <c r="N2475" s="377"/>
      <c r="O2475" s="379"/>
    </row>
    <row r="2476" spans="1:15" ht="12.75" customHeight="1">
      <c r="A2476" s="342"/>
      <c r="B2476" s="342"/>
      <c r="C2476" s="1025" t="s">
        <v>2126</v>
      </c>
      <c r="D2476" s="1025"/>
      <c r="E2476" s="1025"/>
      <c r="F2476" s="1025"/>
      <c r="G2476" s="343"/>
      <c r="H2476" s="617">
        <v>24</v>
      </c>
      <c r="I2476" s="617"/>
      <c r="J2476" s="617"/>
      <c r="K2476" s="618"/>
      <c r="L2476" s="618"/>
      <c r="M2476" s="618"/>
      <c r="N2476" s="700"/>
      <c r="O2476" s="700"/>
    </row>
    <row r="2477" spans="1:15" ht="12.75" customHeight="1">
      <c r="A2477" s="342"/>
      <c r="B2477" s="342"/>
      <c r="C2477" s="1103"/>
      <c r="D2477" s="1103"/>
      <c r="E2477" s="1103"/>
      <c r="F2477" s="1103"/>
      <c r="G2477" s="343"/>
      <c r="H2477" s="617"/>
      <c r="I2477" s="617"/>
      <c r="J2477" s="617"/>
      <c r="K2477" s="618"/>
      <c r="L2477" s="618"/>
      <c r="M2477" s="618"/>
      <c r="N2477" s="700"/>
      <c r="O2477" s="700"/>
    </row>
    <row r="2478" spans="1:15" ht="27.75" customHeight="1">
      <c r="A2478" s="377">
        <f>ORÇAMENTO!A418</f>
        <v>7926</v>
      </c>
      <c r="B2478" s="377" t="str">
        <f>ORÇAMENTO!C418</f>
        <v>15.02.20</v>
      </c>
      <c r="C2478" s="1003" t="str">
        <f>ORÇAMENTO!D418</f>
        <v>TERMINAL DE COMPRESSÃO PARA CABO DE 10 MM² - FORNECIMENTO E INSTALAÇÃO</v>
      </c>
      <c r="D2478" s="1003"/>
      <c r="E2478" s="1003"/>
      <c r="F2478" s="1003"/>
      <c r="G2478" s="377" t="str">
        <f>ORÇAMENTO!E418</f>
        <v xml:space="preserve">UN </v>
      </c>
      <c r="H2478" s="377">
        <f>SUM(H2479:H2480)</f>
        <v>12</v>
      </c>
      <c r="I2478" s="379"/>
      <c r="J2478" s="377"/>
      <c r="K2478" s="379"/>
      <c r="L2478" s="377"/>
      <c r="M2478" s="379"/>
      <c r="N2478" s="377"/>
      <c r="O2478" s="379"/>
    </row>
    <row r="2479" spans="1:15" ht="12.75" customHeight="1">
      <c r="A2479" s="342"/>
      <c r="B2479" s="342"/>
      <c r="C2479" s="1025" t="s">
        <v>2126</v>
      </c>
      <c r="D2479" s="1025"/>
      <c r="E2479" s="1025"/>
      <c r="F2479" s="1025"/>
      <c r="G2479" s="343"/>
      <c r="H2479" s="617">
        <v>12</v>
      </c>
      <c r="I2479" s="617"/>
      <c r="J2479" s="617"/>
      <c r="K2479" s="618"/>
      <c r="L2479" s="618"/>
      <c r="M2479" s="618"/>
      <c r="N2479" s="700"/>
      <c r="O2479" s="700"/>
    </row>
    <row r="2480" spans="1:15" ht="12.75" customHeight="1">
      <c r="A2480" s="342"/>
      <c r="B2480" s="342"/>
      <c r="C2480" s="1025"/>
      <c r="D2480" s="1025"/>
      <c r="E2480" s="1025"/>
      <c r="F2480" s="1025"/>
      <c r="G2480" s="343"/>
      <c r="H2480" s="617"/>
      <c r="I2480" s="617"/>
      <c r="J2480" s="617"/>
      <c r="K2480" s="618"/>
      <c r="L2480" s="618"/>
      <c r="M2480" s="618"/>
      <c r="N2480" s="700"/>
      <c r="O2480" s="700"/>
    </row>
    <row r="2481" spans="1:15" ht="30.75" customHeight="1">
      <c r="A2481" s="377">
        <f>ORÇAMENTO!A419</f>
        <v>7927</v>
      </c>
      <c r="B2481" s="377" t="str">
        <f>ORÇAMENTO!C419</f>
        <v>15.02.21</v>
      </c>
      <c r="C2481" s="1003" t="str">
        <f>ORÇAMENTO!D419</f>
        <v>TERMINAL DE COMPRESSÃO PARA CABO DE 16 MM² - FORNECIMENTO E INSTALAÇÃO</v>
      </c>
      <c r="D2481" s="1003"/>
      <c r="E2481" s="1003"/>
      <c r="F2481" s="1003"/>
      <c r="G2481" s="377" t="str">
        <f>ORÇAMENTO!E419</f>
        <v xml:space="preserve">UN </v>
      </c>
      <c r="H2481" s="377">
        <f>SUM(H2482:H2483)</f>
        <v>6</v>
      </c>
      <c r="I2481" s="379"/>
      <c r="J2481" s="377"/>
      <c r="K2481" s="379"/>
      <c r="L2481" s="377"/>
      <c r="M2481" s="379"/>
      <c r="N2481" s="377"/>
      <c r="O2481" s="379"/>
    </row>
    <row r="2482" spans="1:15" ht="12.75" customHeight="1">
      <c r="A2482" s="342"/>
      <c r="B2482" s="342"/>
      <c r="C2482" s="1025" t="s">
        <v>2126</v>
      </c>
      <c r="D2482" s="1025"/>
      <c r="E2482" s="1025"/>
      <c r="F2482" s="1025"/>
      <c r="G2482" s="343"/>
      <c r="H2482" s="617">
        <v>6</v>
      </c>
      <c r="I2482" s="617"/>
      <c r="J2482" s="617"/>
      <c r="K2482" s="618"/>
      <c r="L2482" s="618"/>
      <c r="M2482" s="618"/>
      <c r="N2482" s="700"/>
      <c r="O2482" s="700"/>
    </row>
    <row r="2483" spans="1:15" ht="12.75" customHeight="1">
      <c r="A2483" s="342"/>
      <c r="B2483" s="342"/>
      <c r="C2483" s="1025"/>
      <c r="D2483" s="1025"/>
      <c r="E2483" s="1025"/>
      <c r="F2483" s="1025"/>
      <c r="G2483" s="343"/>
      <c r="H2483" s="617"/>
      <c r="I2483" s="617"/>
      <c r="J2483" s="617"/>
      <c r="K2483" s="618"/>
      <c r="L2483" s="618"/>
      <c r="M2483" s="618"/>
      <c r="N2483" s="700"/>
      <c r="O2483" s="700"/>
    </row>
    <row r="2484" spans="1:15" ht="26.45" customHeight="1">
      <c r="A2484" s="377">
        <f>ORÇAMENTO!A420</f>
        <v>7928</v>
      </c>
      <c r="B2484" s="377" t="str">
        <f>ORÇAMENTO!C420</f>
        <v>15.02.22</v>
      </c>
      <c r="C2484" s="1003" t="str">
        <f>ORÇAMENTO!D420</f>
        <v>TERMINAL DE COMPRESSÃO PARA CABO DE 35 MM² - FORNECIMENTO E INSTALAÇÃO</v>
      </c>
      <c r="D2484" s="1003"/>
      <c r="E2484" s="1003"/>
      <c r="F2484" s="1003"/>
      <c r="G2484" s="377" t="str">
        <f>ORÇAMENTO!E420</f>
        <v xml:space="preserve">UN </v>
      </c>
      <c r="H2484" s="377">
        <f>H2485</f>
        <v>4</v>
      </c>
      <c r="I2484" s="379"/>
      <c r="J2484" s="377"/>
      <c r="K2484" s="379"/>
      <c r="L2484" s="377"/>
      <c r="M2484" s="379"/>
      <c r="N2484" s="377"/>
      <c r="O2484" s="379"/>
    </row>
    <row r="2485" spans="1:15" ht="12.75" customHeight="1">
      <c r="A2485" s="337"/>
      <c r="B2485" s="337"/>
      <c r="C2485" s="1025" t="s">
        <v>2126</v>
      </c>
      <c r="D2485" s="1025"/>
      <c r="E2485" s="1025"/>
      <c r="F2485" s="1025"/>
      <c r="G2485" s="389"/>
      <c r="H2485" s="617">
        <v>4</v>
      </c>
      <c r="I2485" s="617"/>
      <c r="J2485" s="617"/>
      <c r="K2485" s="618"/>
      <c r="L2485" s="618"/>
      <c r="M2485" s="618"/>
      <c r="N2485" s="700"/>
      <c r="O2485" s="700"/>
    </row>
    <row r="2486" spans="1:15" ht="12.75" customHeight="1">
      <c r="A2486" s="337"/>
      <c r="B2486" s="337"/>
      <c r="C2486" s="1025"/>
      <c r="D2486" s="1025"/>
      <c r="E2486" s="1025"/>
      <c r="F2486" s="1025"/>
      <c r="G2486" s="389"/>
      <c r="H2486" s="617"/>
      <c r="I2486" s="617"/>
      <c r="J2486" s="617"/>
      <c r="K2486" s="618"/>
      <c r="L2486" s="618"/>
      <c r="M2486" s="618"/>
      <c r="N2486" s="700"/>
      <c r="O2486" s="700"/>
    </row>
    <row r="2487" spans="1:15" ht="28.15" customHeight="1">
      <c r="A2487" s="377">
        <f>ORÇAMENTO!A421</f>
        <v>7929</v>
      </c>
      <c r="B2487" s="377" t="str">
        <f>ORÇAMENTO!C421</f>
        <v>15.02.23</v>
      </c>
      <c r="C2487" s="1003" t="str">
        <f>ORÇAMENTO!D421</f>
        <v>TERMINAL DE COMPRESSÃO PARA CABO DE 70 MM² - FORNECIMENTO E INSTALAÇÃO</v>
      </c>
      <c r="D2487" s="1003"/>
      <c r="E2487" s="1003"/>
      <c r="F2487" s="1003"/>
      <c r="G2487" s="377" t="str">
        <f>ORÇAMENTO!E421</f>
        <v xml:space="preserve">UN </v>
      </c>
      <c r="H2487" s="377">
        <f>H2488</f>
        <v>16</v>
      </c>
      <c r="I2487" s="379"/>
      <c r="J2487" s="377"/>
      <c r="K2487" s="379"/>
      <c r="L2487" s="377"/>
      <c r="M2487" s="379"/>
      <c r="N2487" s="377"/>
      <c r="O2487" s="379"/>
    </row>
    <row r="2488" spans="1:15" ht="12.75" customHeight="1">
      <c r="A2488" s="342"/>
      <c r="B2488" s="342"/>
      <c r="C2488" s="1025" t="s">
        <v>2126</v>
      </c>
      <c r="D2488" s="1025"/>
      <c r="E2488" s="1025"/>
      <c r="F2488" s="1025"/>
      <c r="G2488" s="343"/>
      <c r="H2488" s="617">
        <v>16</v>
      </c>
      <c r="I2488" s="617"/>
      <c r="J2488" s="617"/>
      <c r="K2488" s="618"/>
      <c r="L2488" s="618"/>
      <c r="M2488" s="618"/>
      <c r="N2488" s="700"/>
      <c r="O2488" s="700"/>
    </row>
    <row r="2489" spans="1:15" ht="28.5" customHeight="1">
      <c r="A2489" s="377">
        <f>ORÇAMENTO!A422</f>
        <v>93655</v>
      </c>
      <c r="B2489" s="377" t="str">
        <f>ORÇAMENTO!C422</f>
        <v>15.02.24</v>
      </c>
      <c r="C2489" s="1003" t="str">
        <f>ORÇAMENTO!D422</f>
        <v>DISJUNTOR MONOPOLAR TIPO DIN, CORRENTE NOMINAL DE 20A - FORNECIMENTO E INSTALAÇÃO. AF_10/2020</v>
      </c>
      <c r="D2489" s="1003"/>
      <c r="E2489" s="1003"/>
      <c r="F2489" s="1003"/>
      <c r="G2489" s="377" t="str">
        <f>ORÇAMENTO!E422</f>
        <v xml:space="preserve">UN </v>
      </c>
      <c r="H2489" s="383">
        <f>H2490</f>
        <v>3</v>
      </c>
      <c r="I2489" s="379"/>
      <c r="J2489" s="380"/>
      <c r="K2489" s="379"/>
      <c r="L2489" s="380"/>
      <c r="M2489" s="379"/>
      <c r="N2489" s="380"/>
      <c r="O2489" s="379"/>
    </row>
    <row r="2490" spans="1:15" ht="15" customHeight="1">
      <c r="A2490" s="342"/>
      <c r="B2490" s="342"/>
      <c r="C2490" s="1024" t="s">
        <v>2127</v>
      </c>
      <c r="D2490" s="1024"/>
      <c r="E2490" s="1024"/>
      <c r="F2490" s="1024"/>
      <c r="G2490" s="343"/>
      <c r="H2490" s="584">
        <v>3</v>
      </c>
      <c r="I2490" s="582"/>
      <c r="J2490" s="582"/>
      <c r="K2490" s="583"/>
      <c r="L2490" s="583"/>
      <c r="M2490" s="583"/>
      <c r="N2490" s="589"/>
      <c r="O2490" s="589"/>
    </row>
    <row r="2491" spans="1:15" ht="32.25" customHeight="1">
      <c r="A2491" s="377">
        <f>ORÇAMENTO!A423</f>
        <v>93656</v>
      </c>
      <c r="B2491" s="377" t="str">
        <f>ORÇAMENTO!C423</f>
        <v>15.02.25</v>
      </c>
      <c r="C2491" s="1003" t="str">
        <f>ORÇAMENTO!D423</f>
        <v>DISJUNTOR MONOPOLAR TIPO DIN, CORRENTE NOMINAL DE 25A - FORNECIMENTO E INSTALAÇÃO. AF_10/2020</v>
      </c>
      <c r="D2491" s="1003"/>
      <c r="E2491" s="1003"/>
      <c r="F2491" s="1003"/>
      <c r="G2491" s="377" t="str">
        <f>ORÇAMENTO!E423</f>
        <v xml:space="preserve">UN </v>
      </c>
      <c r="H2491" s="383">
        <f>H2492</f>
        <v>7</v>
      </c>
      <c r="I2491" s="379"/>
      <c r="J2491" s="380"/>
      <c r="K2491" s="379"/>
      <c r="L2491" s="380"/>
      <c r="M2491" s="379"/>
      <c r="N2491" s="380"/>
      <c r="O2491" s="379"/>
    </row>
    <row r="2492" spans="1:15" ht="15" customHeight="1">
      <c r="A2492" s="342"/>
      <c r="B2492" s="342"/>
      <c r="C2492" s="1024" t="s">
        <v>2127</v>
      </c>
      <c r="D2492" s="1024"/>
      <c r="E2492" s="1024"/>
      <c r="F2492" s="1024"/>
      <c r="G2492" s="343"/>
      <c r="H2492" s="584">
        <v>7</v>
      </c>
      <c r="I2492" s="582"/>
      <c r="J2492" s="582"/>
      <c r="K2492" s="583"/>
      <c r="L2492" s="583"/>
      <c r="M2492" s="583"/>
      <c r="N2492" s="589"/>
      <c r="O2492" s="589"/>
    </row>
    <row r="2493" spans="1:15" ht="28.5" customHeight="1">
      <c r="A2493" s="377">
        <f>ORÇAMENTO!A424</f>
        <v>93670</v>
      </c>
      <c r="B2493" s="377" t="str">
        <f>ORÇAMENTO!C424</f>
        <v>15.02.26</v>
      </c>
      <c r="C2493" s="1003" t="str">
        <f>ORÇAMENTO!D424</f>
        <v>DISJUNTOR TRIPOLAR TIPO DIN, CORRENTE NOMINAL DE 25A - FORNECIMENTO E INSTALAÇÃO. AF_10/2020</v>
      </c>
      <c r="D2493" s="1003"/>
      <c r="E2493" s="1003"/>
      <c r="F2493" s="1003"/>
      <c r="G2493" s="377" t="str">
        <f>ORÇAMENTO!E424</f>
        <v xml:space="preserve">UN </v>
      </c>
      <c r="H2493" s="383">
        <f>H2494</f>
        <v>5</v>
      </c>
      <c r="I2493" s="379"/>
      <c r="J2493" s="380"/>
      <c r="K2493" s="379"/>
      <c r="L2493" s="380"/>
      <c r="M2493" s="379"/>
      <c r="N2493" s="380"/>
      <c r="O2493" s="379"/>
    </row>
    <row r="2494" spans="1:15" ht="15" customHeight="1">
      <c r="A2494" s="342"/>
      <c r="B2494" s="342"/>
      <c r="C2494" s="1024" t="s">
        <v>2127</v>
      </c>
      <c r="D2494" s="1024"/>
      <c r="E2494" s="1024"/>
      <c r="F2494" s="1024"/>
      <c r="G2494" s="343"/>
      <c r="H2494" s="584">
        <v>5</v>
      </c>
      <c r="I2494" s="582"/>
      <c r="J2494" s="582"/>
      <c r="K2494" s="583"/>
      <c r="L2494" s="583"/>
      <c r="M2494" s="583"/>
      <c r="N2494" s="589"/>
      <c r="O2494" s="589"/>
    </row>
    <row r="2495" spans="1:15" ht="31.5" customHeight="1">
      <c r="A2495" s="377">
        <f>ORÇAMENTO!A425</f>
        <v>93671</v>
      </c>
      <c r="B2495" s="377" t="str">
        <f>ORÇAMENTO!C425</f>
        <v>15.02.27</v>
      </c>
      <c r="C2495" s="1003" t="str">
        <f>ORÇAMENTO!D425</f>
        <v>DISJUNTOR TRIPOLAR TIPO DIN, CORRENTE NOMINAL DE 32A - FORNECIMENTO E INSTALAÇÃO. AF_10/2020</v>
      </c>
      <c r="D2495" s="1003"/>
      <c r="E2495" s="1003"/>
      <c r="F2495" s="1003"/>
      <c r="G2495" s="377" t="str">
        <f>ORÇAMENTO!E425</f>
        <v xml:space="preserve">UN </v>
      </c>
      <c r="H2495" s="377">
        <f>H2496</f>
        <v>4</v>
      </c>
      <c r="I2495" s="379"/>
      <c r="J2495" s="377"/>
      <c r="K2495" s="379"/>
      <c r="L2495" s="377"/>
      <c r="M2495" s="379"/>
      <c r="N2495" s="377"/>
      <c r="O2495" s="379"/>
    </row>
    <row r="2496" spans="1:15" ht="15" customHeight="1">
      <c r="A2496" s="342"/>
      <c r="B2496" s="342"/>
      <c r="C2496" s="1024" t="s">
        <v>2127</v>
      </c>
      <c r="D2496" s="1024"/>
      <c r="E2496" s="1024"/>
      <c r="F2496" s="1024"/>
      <c r="G2496" s="343"/>
      <c r="H2496" s="617">
        <v>4</v>
      </c>
      <c r="I2496" s="617"/>
      <c r="J2496" s="617"/>
      <c r="K2496" s="618"/>
      <c r="L2496" s="618"/>
      <c r="M2496" s="618"/>
      <c r="N2496" s="700"/>
      <c r="O2496" s="700"/>
    </row>
    <row r="2497" spans="1:15" ht="28.5" customHeight="1">
      <c r="A2497" s="377">
        <f>ORÇAMENTO!A426</f>
        <v>93658</v>
      </c>
      <c r="B2497" s="377" t="str">
        <f>ORÇAMENTO!C426</f>
        <v>15.02.28</v>
      </c>
      <c r="C2497" s="1003" t="str">
        <f>ORÇAMENTO!D426</f>
        <v>DISJUNTOR MONOPOLAR TIPO DIN, CORRENTE NOMINAL DE 40A - FORNECIMENTO E INSTALAÇÃO. AF_10/2020</v>
      </c>
      <c r="D2497" s="1003"/>
      <c r="E2497" s="1003"/>
      <c r="F2497" s="1003"/>
      <c r="G2497" s="377" t="str">
        <f>ORÇAMENTO!E426</f>
        <v xml:space="preserve">UN </v>
      </c>
      <c r="H2497" s="377">
        <f>H2498</f>
        <v>1</v>
      </c>
      <c r="I2497" s="379"/>
      <c r="J2497" s="377"/>
      <c r="K2497" s="379"/>
      <c r="L2497" s="377"/>
      <c r="M2497" s="379"/>
      <c r="N2497" s="377"/>
      <c r="O2497" s="379"/>
    </row>
    <row r="2498" spans="1:15" ht="12.75" customHeight="1">
      <c r="A2498" s="342"/>
      <c r="B2498" s="342"/>
      <c r="C2498" s="1024" t="s">
        <v>2127</v>
      </c>
      <c r="D2498" s="1024"/>
      <c r="E2498" s="1024"/>
      <c r="F2498" s="1024"/>
      <c r="G2498" s="343"/>
      <c r="H2498" s="617">
        <v>1</v>
      </c>
      <c r="I2498" s="617"/>
      <c r="J2498" s="617"/>
      <c r="K2498" s="618"/>
      <c r="L2498" s="618"/>
      <c r="M2498" s="618"/>
      <c r="N2498" s="700"/>
      <c r="O2498" s="700"/>
    </row>
    <row r="2499" spans="1:15" ht="30.75" customHeight="1">
      <c r="A2499" s="377">
        <f>ORÇAMENTO!A427</f>
        <v>11572</v>
      </c>
      <c r="B2499" s="377" t="str">
        <f>ORÇAMENTO!C427</f>
        <v>15.02.29</v>
      </c>
      <c r="C2499" s="1003" t="str">
        <f>ORÇAMENTO!D427</f>
        <v>DISJUNTOR TERMOMAGNETICO TRIPOLAR 70 A, PADRÃO DIN (EUROPEU - LINHA BRANCA), CURVA C, 10KA</v>
      </c>
      <c r="D2499" s="1003"/>
      <c r="E2499" s="1003"/>
      <c r="F2499" s="1003"/>
      <c r="G2499" s="377" t="str">
        <f>ORÇAMENTO!E427</f>
        <v xml:space="preserve">UN </v>
      </c>
      <c r="H2499" s="377">
        <f>H2500</f>
        <v>1</v>
      </c>
      <c r="I2499" s="379"/>
      <c r="J2499" s="377"/>
      <c r="K2499" s="379"/>
      <c r="L2499" s="377"/>
      <c r="M2499" s="379"/>
      <c r="N2499" s="377"/>
      <c r="O2499" s="379"/>
    </row>
    <row r="2500" spans="1:15" ht="12.75" customHeight="1">
      <c r="A2500" s="342"/>
      <c r="B2500" s="342"/>
      <c r="C2500" s="1024" t="s">
        <v>2127</v>
      </c>
      <c r="D2500" s="1024"/>
      <c r="E2500" s="1024"/>
      <c r="F2500" s="1024"/>
      <c r="G2500" s="343"/>
      <c r="H2500" s="617">
        <v>1</v>
      </c>
      <c r="I2500" s="617"/>
      <c r="J2500" s="617"/>
      <c r="K2500" s="618"/>
      <c r="L2500" s="618"/>
      <c r="M2500" s="618"/>
      <c r="N2500" s="700"/>
      <c r="O2500" s="700"/>
    </row>
    <row r="2501" spans="1:15" ht="24.75" customHeight="1">
      <c r="A2501" s="377">
        <f>ORÇAMENTO!A428</f>
        <v>9689</v>
      </c>
      <c r="B2501" s="377" t="str">
        <f>ORÇAMENTO!C428</f>
        <v>15.02.30</v>
      </c>
      <c r="C2501" s="1003" t="str">
        <f>ORÇAMENTO!D428</f>
        <v>DISJUNTOR TERMOMAGNÉTICO TRIPOLAR 175 A COM CAIXA MOLDADA 10 KA</v>
      </c>
      <c r="D2501" s="1003"/>
      <c r="E2501" s="1003"/>
      <c r="F2501" s="1003"/>
      <c r="G2501" s="377" t="str">
        <f>ORÇAMENTO!E428</f>
        <v xml:space="preserve">UN </v>
      </c>
      <c r="H2501" s="377">
        <f>H2502</f>
        <v>1</v>
      </c>
      <c r="I2501" s="379"/>
      <c r="J2501" s="377"/>
      <c r="K2501" s="379"/>
      <c r="L2501" s="377"/>
      <c r="M2501" s="379"/>
      <c r="N2501" s="377"/>
      <c r="O2501" s="379"/>
    </row>
    <row r="2502" spans="1:15" ht="12.75" customHeight="1">
      <c r="A2502" s="342"/>
      <c r="B2502" s="342"/>
      <c r="C2502" s="1024" t="s">
        <v>2128</v>
      </c>
      <c r="D2502" s="1024"/>
      <c r="E2502" s="1024"/>
      <c r="F2502" s="1024"/>
      <c r="G2502" s="343" t="s">
        <v>96</v>
      </c>
      <c r="H2502" s="617">
        <v>1</v>
      </c>
      <c r="I2502" s="617"/>
      <c r="J2502" s="617"/>
      <c r="K2502" s="618"/>
      <c r="L2502" s="618"/>
      <c r="M2502" s="618"/>
      <c r="N2502" s="700"/>
      <c r="O2502" s="700"/>
    </row>
    <row r="2503" spans="1:15" ht="24.75" customHeight="1">
      <c r="A2503" s="377">
        <f>ORÇAMENTO!A429</f>
        <v>9934</v>
      </c>
      <c r="B2503" s="377" t="str">
        <f>ORÇAMENTO!C429</f>
        <v>15.02.31</v>
      </c>
      <c r="C2503" s="1003" t="str">
        <f>ORÇAMENTO!D429</f>
        <v>DISJUNTOR TERMOMAGNETICO TRIPOLAR 175 A, PADRÃO DIN (EUROPEU - LINHA BRANCA), 10KA</v>
      </c>
      <c r="D2503" s="1003"/>
      <c r="E2503" s="1003"/>
      <c r="F2503" s="1003"/>
      <c r="G2503" s="377" t="str">
        <f>ORÇAMENTO!E429</f>
        <v xml:space="preserve">UN </v>
      </c>
      <c r="H2503" s="377">
        <f>H2504</f>
        <v>1</v>
      </c>
      <c r="I2503" s="379"/>
      <c r="J2503" s="377"/>
      <c r="K2503" s="379"/>
      <c r="L2503" s="377"/>
      <c r="M2503" s="379"/>
      <c r="N2503" s="377"/>
      <c r="O2503" s="379"/>
    </row>
    <row r="2504" spans="1:15" ht="12.75" customHeight="1">
      <c r="A2504" s="342"/>
      <c r="B2504" s="342"/>
      <c r="C2504" s="1024" t="s">
        <v>2102</v>
      </c>
      <c r="D2504" s="1024"/>
      <c r="E2504" s="1024"/>
      <c r="F2504" s="1024"/>
      <c r="G2504" s="343" t="s">
        <v>96</v>
      </c>
      <c r="H2504" s="617">
        <v>1</v>
      </c>
      <c r="I2504" s="617"/>
      <c r="J2504" s="617"/>
      <c r="K2504" s="618"/>
      <c r="L2504" s="618"/>
      <c r="M2504" s="618"/>
      <c r="N2504" s="700"/>
      <c r="O2504" s="700"/>
    </row>
    <row r="2505" spans="1:15" ht="41.25" customHeight="1">
      <c r="A2505" s="377">
        <f>ORÇAMENTO!A430</f>
        <v>93009</v>
      </c>
      <c r="B2505" s="377" t="str">
        <f>ORÇAMENTO!C430</f>
        <v>15.02.32</v>
      </c>
      <c r="C2505" s="1003" t="str">
        <f>ORÇAMENTO!D430</f>
        <v>ELETRODUTO RÍGIDO ROSCÁVEL, PVC, DN 60 MM (2"), PARA REDE ENTERRADA DE DISTRIBUIÇÃO DE ENERGIA ELÉTRICA - FORNECIMENTO E INSTALAÇÃO. AF_12/2021</v>
      </c>
      <c r="D2505" s="1003"/>
      <c r="E2505" s="1003"/>
      <c r="F2505" s="1003"/>
      <c r="G2505" s="377" t="str">
        <f>ORÇAMENTO!E430</f>
        <v>M</v>
      </c>
      <c r="H2505" s="377">
        <f>H2506</f>
        <v>103.02</v>
      </c>
      <c r="I2505" s="379"/>
      <c r="J2505" s="377"/>
      <c r="K2505" s="379"/>
      <c r="L2505" s="377"/>
      <c r="M2505" s="379"/>
      <c r="N2505" s="377"/>
      <c r="O2505" s="379"/>
    </row>
    <row r="2506" spans="1:15" ht="12.75" customHeight="1">
      <c r="A2506" s="342"/>
      <c r="B2506" s="342"/>
      <c r="C2506" s="1024" t="s">
        <v>2129</v>
      </c>
      <c r="D2506" s="1024"/>
      <c r="E2506" s="1024"/>
      <c r="F2506" s="1024"/>
      <c r="G2506" s="343"/>
      <c r="H2506" s="617">
        <f>85.85*1.2</f>
        <v>103.02</v>
      </c>
      <c r="I2506" s="617"/>
      <c r="J2506" s="617"/>
      <c r="K2506" s="618"/>
      <c r="L2506" s="618"/>
      <c r="M2506" s="618"/>
      <c r="N2506" s="700"/>
      <c r="O2506" s="700"/>
    </row>
    <row r="2507" spans="1:15" ht="36" customHeight="1">
      <c r="A2507" s="377">
        <f>ORÇAMENTO!A431</f>
        <v>93020</v>
      </c>
      <c r="B2507" s="377" t="str">
        <f>ORÇAMENTO!C431</f>
        <v>15.02.33</v>
      </c>
      <c r="C2507" s="1003" t="str">
        <f>ORÇAMENTO!D431</f>
        <v>CURVA 90 GRAUS PARA ELETRODUTO, PVC, ROSCÁVEL, DN 60 MM (2"), PARA REDE ENTERRADA DE DISTRIBUIÇÃO DE ENERGIA ELÉTRICA - FORNECIMENTO E INSTALAÇÃO. AF_12/2021</v>
      </c>
      <c r="D2507" s="1003"/>
      <c r="E2507" s="1003"/>
      <c r="F2507" s="1003"/>
      <c r="G2507" s="377" t="str">
        <f>ORÇAMENTO!E431</f>
        <v xml:space="preserve">UN </v>
      </c>
      <c r="H2507" s="377">
        <f>H2508</f>
        <v>4</v>
      </c>
      <c r="I2507" s="379"/>
      <c r="J2507" s="377"/>
      <c r="K2507" s="379"/>
      <c r="L2507" s="377"/>
      <c r="M2507" s="379"/>
      <c r="N2507" s="377"/>
      <c r="O2507" s="379"/>
    </row>
    <row r="2508" spans="1:15" ht="12.75" customHeight="1">
      <c r="A2508" s="342"/>
      <c r="B2508" s="342"/>
      <c r="C2508" s="1024" t="s">
        <v>2129</v>
      </c>
      <c r="D2508" s="1024"/>
      <c r="E2508" s="1024"/>
      <c r="F2508" s="1024"/>
      <c r="G2508" s="343"/>
      <c r="H2508" s="617">
        <v>4</v>
      </c>
      <c r="I2508" s="617"/>
      <c r="J2508" s="617"/>
      <c r="K2508" s="618"/>
      <c r="L2508" s="618"/>
      <c r="M2508" s="618"/>
      <c r="N2508" s="700"/>
      <c r="O2508" s="700"/>
    </row>
    <row r="2509" spans="1:15" ht="39" customHeight="1">
      <c r="A2509" s="377">
        <f>ORÇAMENTO!A432</f>
        <v>93014</v>
      </c>
      <c r="B2509" s="377" t="str">
        <f>ORÇAMENTO!C432</f>
        <v>15.02.34</v>
      </c>
      <c r="C2509" s="1003" t="str">
        <f>ORÇAMENTO!D432</f>
        <v>LUVA PARA ELETRODUTO, PVC, ROSCÁVEL, DN 60 MM (2"), PARA REDE ENTERRADA DE DISTRIBUIÇÃO DE ENERGIA ELÉTRICA - FORNECIMENTO E INSTALAÇÃO. AF_12/2021</v>
      </c>
      <c r="D2509" s="1003"/>
      <c r="E2509" s="1003"/>
      <c r="F2509" s="1003"/>
      <c r="G2509" s="377" t="str">
        <f>ORÇAMENTO!E432</f>
        <v xml:space="preserve">UN </v>
      </c>
      <c r="H2509" s="377">
        <f>H2510</f>
        <v>40</v>
      </c>
      <c r="I2509" s="379"/>
      <c r="J2509" s="377"/>
      <c r="K2509" s="379"/>
      <c r="L2509" s="377"/>
      <c r="M2509" s="379"/>
      <c r="N2509" s="377"/>
      <c r="O2509" s="379"/>
    </row>
    <row r="2510" spans="1:15" ht="12.75" customHeight="1">
      <c r="A2510" s="342"/>
      <c r="B2510" s="342"/>
      <c r="C2510" s="1024" t="s">
        <v>2129</v>
      </c>
      <c r="D2510" s="1024"/>
      <c r="E2510" s="1024"/>
      <c r="F2510" s="1024"/>
      <c r="G2510" s="343"/>
      <c r="H2510" s="617">
        <v>40</v>
      </c>
      <c r="I2510" s="617"/>
      <c r="J2510" s="617"/>
      <c r="K2510" s="618"/>
      <c r="L2510" s="618"/>
      <c r="M2510" s="618"/>
      <c r="N2510" s="700"/>
      <c r="O2510" s="700"/>
    </row>
    <row r="2511" spans="1:15" ht="12.75" customHeight="1">
      <c r="A2511" s="377" t="str">
        <f>ORÇAMENTO!A433</f>
        <v>I-00316</v>
      </c>
      <c r="B2511" s="377" t="str">
        <f>ORÇAMENTO!C433</f>
        <v>15.02.35</v>
      </c>
      <c r="C2511" s="1003" t="str">
        <f>ORÇAMENTO!D433</f>
        <v>BUCHA ALUMINIO P/ELETRODUTO D=2"</v>
      </c>
      <c r="D2511" s="1003"/>
      <c r="E2511" s="1003"/>
      <c r="F2511" s="1003"/>
      <c r="G2511" s="377" t="str">
        <f>ORÇAMENTO!E433</f>
        <v xml:space="preserve">UN </v>
      </c>
      <c r="H2511" s="377">
        <f>H2512</f>
        <v>10</v>
      </c>
      <c r="I2511" s="379"/>
      <c r="J2511" s="377"/>
      <c r="K2511" s="379"/>
      <c r="L2511" s="377"/>
      <c r="M2511" s="379"/>
      <c r="N2511" s="377"/>
      <c r="O2511" s="379"/>
    </row>
    <row r="2512" spans="1:15" ht="12.75" customHeight="1">
      <c r="A2512" s="342"/>
      <c r="B2512" s="342"/>
      <c r="C2512" s="1024" t="s">
        <v>2129</v>
      </c>
      <c r="D2512" s="1024"/>
      <c r="E2512" s="1024"/>
      <c r="F2512" s="1024"/>
      <c r="G2512" s="343"/>
      <c r="H2512" s="617">
        <v>10</v>
      </c>
      <c r="I2512" s="617"/>
      <c r="J2512" s="617"/>
      <c r="K2512" s="618"/>
      <c r="L2512" s="618"/>
      <c r="M2512" s="618"/>
      <c r="N2512" s="700"/>
      <c r="O2512" s="700"/>
    </row>
    <row r="2513" spans="1:15" ht="12.75" customHeight="1">
      <c r="A2513" s="377" t="str">
        <f>ORÇAMENTO!A434</f>
        <v>I-39213</v>
      </c>
      <c r="B2513" s="377" t="str">
        <f>ORÇAMENTO!C434</f>
        <v>15.02.36</v>
      </c>
      <c r="C2513" s="1003" t="str">
        <f>ORÇAMENTO!D434</f>
        <v>ARRUELA EM ALUMINIO, COM ROSCA, DE 2", PARA ELETRODUTO</v>
      </c>
      <c r="D2513" s="1003"/>
      <c r="E2513" s="1003"/>
      <c r="F2513" s="1003"/>
      <c r="G2513" s="377" t="str">
        <f>ORÇAMENTO!E434</f>
        <v xml:space="preserve">UN </v>
      </c>
      <c r="H2513" s="377">
        <f>H2514</f>
        <v>10</v>
      </c>
      <c r="I2513" s="379"/>
      <c r="J2513" s="377"/>
      <c r="K2513" s="379"/>
      <c r="L2513" s="377"/>
      <c r="M2513" s="379"/>
      <c r="N2513" s="377"/>
      <c r="O2513" s="379"/>
    </row>
    <row r="2514" spans="1:15" ht="12.75" customHeight="1">
      <c r="A2514" s="342"/>
      <c r="B2514" s="342"/>
      <c r="C2514" s="1024" t="s">
        <v>2129</v>
      </c>
      <c r="D2514" s="1024"/>
      <c r="E2514" s="1024"/>
      <c r="F2514" s="1024"/>
      <c r="G2514" s="343"/>
      <c r="H2514" s="617">
        <v>10</v>
      </c>
      <c r="I2514" s="617"/>
      <c r="J2514" s="617"/>
      <c r="K2514" s="618"/>
      <c r="L2514" s="618"/>
      <c r="M2514" s="618"/>
      <c r="N2514" s="700"/>
      <c r="O2514" s="700"/>
    </row>
    <row r="2515" spans="1:15" ht="32.25" customHeight="1">
      <c r="A2515" s="377">
        <f>ORÇAMENTO!A435</f>
        <v>354</v>
      </c>
      <c r="B2515" s="377" t="str">
        <f>ORÇAMENTO!C435</f>
        <v>15.02.37</v>
      </c>
      <c r="C2515" s="1003" t="str">
        <f>ORÇAMENTO!D435</f>
        <v>ELETRODUTO DE PVC RÍGIDO ROSCÁVEL, DIÂM = 32MM (1")</v>
      </c>
      <c r="D2515" s="1003"/>
      <c r="E2515" s="1003"/>
      <c r="F2515" s="1003"/>
      <c r="G2515" s="377" t="str">
        <f>ORÇAMENTO!E435</f>
        <v>M</v>
      </c>
      <c r="H2515" s="377">
        <f>H2516</f>
        <v>123.858</v>
      </c>
      <c r="I2515" s="379"/>
      <c r="J2515" s="377"/>
      <c r="K2515" s="379"/>
      <c r="L2515" s="377"/>
      <c r="M2515" s="379"/>
      <c r="N2515" s="377"/>
      <c r="O2515" s="379"/>
    </row>
    <row r="2516" spans="1:15" ht="12.75" customHeight="1">
      <c r="A2516" s="342"/>
      <c r="B2516" s="342"/>
      <c r="C2516" s="1024" t="s">
        <v>2130</v>
      </c>
      <c r="D2516" s="1024"/>
      <c r="E2516" s="1024"/>
      <c r="F2516" s="1024"/>
      <c r="G2516" s="343"/>
      <c r="H2516" s="588">
        <f>68.81*1.8</f>
        <v>123.858</v>
      </c>
      <c r="I2516" s="617"/>
      <c r="J2516" s="617"/>
      <c r="K2516" s="618"/>
      <c r="L2516" s="618"/>
      <c r="M2516" s="618"/>
      <c r="N2516" s="700"/>
      <c r="O2516" s="700"/>
    </row>
    <row r="2517" spans="1:15" ht="27" customHeight="1">
      <c r="A2517" s="377">
        <f>ORÇAMENTO!A436</f>
        <v>363</v>
      </c>
      <c r="B2517" s="377" t="str">
        <f>ORÇAMENTO!C436</f>
        <v>15.02.38</v>
      </c>
      <c r="C2517" s="1003" t="str">
        <f>ORÇAMENTO!D436</f>
        <v>CURVA PARA ELETRODUTO DE PVC RÍGIDO ROSCÁVEL, DIÂM = 32MM (1")</v>
      </c>
      <c r="D2517" s="1003"/>
      <c r="E2517" s="1003"/>
      <c r="F2517" s="1003"/>
      <c r="G2517" s="377" t="str">
        <f>ORÇAMENTO!E436</f>
        <v xml:space="preserve">UN </v>
      </c>
      <c r="H2517" s="377">
        <f>H2518</f>
        <v>18</v>
      </c>
      <c r="I2517" s="379"/>
      <c r="J2517" s="377"/>
      <c r="K2517" s="379"/>
      <c r="L2517" s="377"/>
      <c r="M2517" s="379"/>
      <c r="N2517" s="377"/>
      <c r="O2517" s="379"/>
    </row>
    <row r="2518" spans="1:15" ht="12.75" customHeight="1">
      <c r="A2518" s="342"/>
      <c r="B2518" s="342"/>
      <c r="C2518" s="1024" t="s">
        <v>2130</v>
      </c>
      <c r="D2518" s="1024"/>
      <c r="E2518" s="1024"/>
      <c r="F2518" s="1024"/>
      <c r="G2518" s="343"/>
      <c r="H2518" s="617">
        <v>18</v>
      </c>
      <c r="I2518" s="617"/>
      <c r="J2518" s="617"/>
      <c r="K2518" s="618"/>
      <c r="L2518" s="618"/>
      <c r="M2518" s="618"/>
      <c r="N2518" s="700"/>
      <c r="O2518" s="700"/>
    </row>
    <row r="2519" spans="1:15" ht="12.75" customHeight="1">
      <c r="A2519" s="377">
        <f>ORÇAMENTO!A437</f>
        <v>91876</v>
      </c>
      <c r="B2519" s="377" t="str">
        <f>ORÇAMENTO!C437</f>
        <v>15.02.39</v>
      </c>
      <c r="C2519" s="1003" t="str">
        <f>ORÇAMENTO!D437</f>
        <v>LUVA PARA ELETRODUTO, PVC, ROSCÁVEL, DN 32 MM (1"), PARA CIRCUITOS TERMINAIS, INSTALADA EM FORRO - FORNECIMENTO E INSTALAÇÃO. AF_03/2023</v>
      </c>
      <c r="D2519" s="1003"/>
      <c r="E2519" s="1003"/>
      <c r="F2519" s="1003"/>
      <c r="G2519" s="377" t="str">
        <f>ORÇAMENTO!E437</f>
        <v xml:space="preserve">UN </v>
      </c>
      <c r="H2519" s="377">
        <f>H2520</f>
        <v>22</v>
      </c>
      <c r="I2519" s="379"/>
      <c r="J2519" s="377"/>
      <c r="K2519" s="379"/>
      <c r="L2519" s="377"/>
      <c r="M2519" s="379"/>
      <c r="N2519" s="377"/>
      <c r="O2519" s="379"/>
    </row>
    <row r="2520" spans="1:15" ht="12.75" customHeight="1">
      <c r="A2520" s="342"/>
      <c r="B2520" s="342"/>
      <c r="C2520" s="1024" t="s">
        <v>2130</v>
      </c>
      <c r="D2520" s="1024"/>
      <c r="E2520" s="1024"/>
      <c r="F2520" s="1024"/>
      <c r="G2520" s="343"/>
      <c r="H2520" s="617">
        <v>22</v>
      </c>
      <c r="I2520" s="617"/>
      <c r="J2520" s="617"/>
      <c r="K2520" s="618"/>
      <c r="L2520" s="618"/>
      <c r="M2520" s="618"/>
      <c r="N2520" s="700"/>
      <c r="O2520" s="700"/>
    </row>
    <row r="2521" spans="1:15" ht="31.5" customHeight="1">
      <c r="A2521" s="377" t="str">
        <f>ORÇAMENTO!A438</f>
        <v>I-39176</v>
      </c>
      <c r="B2521" s="377" t="str">
        <f>ORÇAMENTO!C438</f>
        <v>15.02.40</v>
      </c>
      <c r="C2521" s="1003" t="str">
        <f>ORÇAMENTO!D438</f>
        <v>BUCHA EM ALUMINIO, COM ROSCA, DE 1", PARA ELETRODUTO</v>
      </c>
      <c r="D2521" s="1003"/>
      <c r="E2521" s="1003"/>
      <c r="F2521" s="1003"/>
      <c r="G2521" s="377" t="str">
        <f>ORÇAMENTO!E438</f>
        <v xml:space="preserve">UN </v>
      </c>
      <c r="H2521" s="377">
        <f>SUM(H2522:H2523)</f>
        <v>10</v>
      </c>
      <c r="I2521" s="379"/>
      <c r="J2521" s="377"/>
      <c r="K2521" s="379"/>
      <c r="L2521" s="377"/>
      <c r="M2521" s="379"/>
      <c r="N2521" s="377"/>
      <c r="O2521" s="379"/>
    </row>
    <row r="2522" spans="1:15" ht="12.75" customHeight="1">
      <c r="A2522" s="342"/>
      <c r="B2522" s="342"/>
      <c r="C2522" s="1024" t="s">
        <v>2130</v>
      </c>
      <c r="D2522" s="1024"/>
      <c r="E2522" s="1024"/>
      <c r="F2522" s="1024"/>
      <c r="G2522" s="343"/>
      <c r="H2522" s="617">
        <v>10</v>
      </c>
      <c r="I2522" s="617"/>
      <c r="J2522" s="617"/>
      <c r="K2522" s="618"/>
      <c r="L2522" s="618"/>
      <c r="M2522" s="618"/>
      <c r="N2522" s="700"/>
      <c r="O2522" s="700"/>
    </row>
    <row r="2523" spans="1:15" ht="12.75" customHeight="1">
      <c r="A2523" s="342"/>
      <c r="B2523" s="342"/>
      <c r="C2523" s="1024"/>
      <c r="D2523" s="1024"/>
      <c r="E2523" s="1024"/>
      <c r="F2523" s="1024"/>
      <c r="G2523" s="343"/>
      <c r="H2523" s="617"/>
      <c r="I2523" s="617"/>
      <c r="J2523" s="617"/>
      <c r="K2523" s="618"/>
      <c r="L2523" s="618"/>
      <c r="M2523" s="618"/>
      <c r="N2523" s="700"/>
      <c r="O2523" s="700"/>
    </row>
    <row r="2524" spans="1:15" ht="33.75" customHeight="1">
      <c r="A2524" s="377" t="str">
        <f>ORÇAMENTO!A439</f>
        <v>I-39210</v>
      </c>
      <c r="B2524" s="377" t="str">
        <f>ORÇAMENTO!C439</f>
        <v>15.02.41</v>
      </c>
      <c r="C2524" s="1003" t="str">
        <f>ORÇAMENTO!D439</f>
        <v>ARRUELA EM ALUMINIO, COM ROSCA, DE 1", PARA ELETRODUTO</v>
      </c>
      <c r="D2524" s="1003"/>
      <c r="E2524" s="1003"/>
      <c r="F2524" s="1003"/>
      <c r="G2524" s="377" t="str">
        <f>ORÇAMENTO!E439</f>
        <v xml:space="preserve">UN </v>
      </c>
      <c r="H2524" s="377">
        <f>SUM(H2525:H2526)</f>
        <v>10</v>
      </c>
      <c r="I2524" s="379"/>
      <c r="J2524" s="377"/>
      <c r="K2524" s="379"/>
      <c r="L2524" s="377"/>
      <c r="M2524" s="379"/>
      <c r="N2524" s="377"/>
      <c r="O2524" s="379"/>
    </row>
    <row r="2525" spans="1:15" ht="12.75" customHeight="1">
      <c r="A2525" s="342"/>
      <c r="B2525" s="342"/>
      <c r="C2525" s="1024" t="s">
        <v>2130</v>
      </c>
      <c r="D2525" s="1024"/>
      <c r="E2525" s="1024"/>
      <c r="F2525" s="1024"/>
      <c r="G2525" s="343"/>
      <c r="H2525" s="617">
        <v>10</v>
      </c>
      <c r="I2525" s="617"/>
      <c r="J2525" s="617"/>
      <c r="K2525" s="618"/>
      <c r="L2525" s="618"/>
      <c r="M2525" s="618"/>
      <c r="N2525" s="700"/>
      <c r="O2525" s="700"/>
    </row>
    <row r="2526" spans="1:15" ht="12.75" customHeight="1">
      <c r="A2526" s="342"/>
      <c r="B2526" s="342"/>
      <c r="C2526" s="1024"/>
      <c r="D2526" s="1024"/>
      <c r="E2526" s="1024"/>
      <c r="F2526" s="1024"/>
      <c r="G2526" s="343"/>
      <c r="H2526" s="617"/>
      <c r="I2526" s="617"/>
      <c r="J2526" s="617"/>
      <c r="K2526" s="618"/>
      <c r="L2526" s="618"/>
      <c r="M2526" s="618"/>
      <c r="N2526" s="700"/>
      <c r="O2526" s="700"/>
    </row>
    <row r="2527" spans="1:15" ht="36.75" customHeight="1">
      <c r="A2527" s="377">
        <f>ORÇAMENTO!A440</f>
        <v>92990</v>
      </c>
      <c r="B2527" s="377" t="str">
        <f>ORÇAMENTO!C440</f>
        <v>15.02.42</v>
      </c>
      <c r="C2527" s="1003" t="str">
        <f>ORÇAMENTO!D440</f>
        <v>CABO DE COBRE FLEXÍVEL ISOLADO, 70 MM², ANTI-CHAMA 0,6/1,0 KV, PARA REDE ENTERRADA DE DISTRIBUIÇÃO DE ENERGIA ELÉTRICA - FORNECIMENTO E INSTALAÇÃO. AF_12/2021</v>
      </c>
      <c r="D2527" s="1003"/>
      <c r="E2527" s="1003"/>
      <c r="F2527" s="1003"/>
      <c r="G2527" s="377" t="str">
        <f>ORÇAMENTO!E440</f>
        <v>M</v>
      </c>
      <c r="H2527" s="377">
        <f>H2528</f>
        <v>549.43999999999994</v>
      </c>
      <c r="I2527" s="379"/>
      <c r="J2527" s="377"/>
      <c r="K2527" s="379"/>
      <c r="L2527" s="377"/>
      <c r="M2527" s="379"/>
      <c r="N2527" s="377"/>
      <c r="O2527" s="379"/>
    </row>
    <row r="2528" spans="1:15" ht="12.75" customHeight="1">
      <c r="A2528" s="342"/>
      <c r="B2528" s="342"/>
      <c r="C2528" s="1024" t="s">
        <v>2131</v>
      </c>
      <c r="D2528" s="1024"/>
      <c r="E2528" s="1024"/>
      <c r="F2528" s="1024"/>
      <c r="G2528" s="343"/>
      <c r="H2528" s="617">
        <f>343.4*1.6</f>
        <v>549.43999999999994</v>
      </c>
      <c r="I2528" s="617"/>
      <c r="J2528" s="617"/>
      <c r="K2528" s="618"/>
      <c r="L2528" s="618"/>
      <c r="M2528" s="618"/>
      <c r="N2528" s="700"/>
      <c r="O2528" s="700"/>
    </row>
    <row r="2529" spans="1:15" ht="39" customHeight="1">
      <c r="A2529" s="377">
        <f>ORÇAMENTO!A441</f>
        <v>95986</v>
      </c>
      <c r="B2529" s="377" t="str">
        <f>ORÇAMENTO!C441</f>
        <v>15.02.43</v>
      </c>
      <c r="C2529" s="1003" t="str">
        <f>ORÇAMENTO!D441</f>
        <v>CABO DE COBRE FLEXÍVEL ISOLADO, 6 MM², ANTI-CHAMA 450/750 V, PARA CIRCUITOS TERMINAIS - FORNECIMENTO E INSTALAÇÃO. AF_12/2015CABO DE COBRE FLEXÍVEL ISOLADO, 35 MM², ANTI-CHAMA 0,6/1,0 KV, PARA REDE ENTERRADA DE DISTRIBUIÇÃO DE ENERGIA ELÉTRICA - FORNECIMENTO E INSTALAÇÃO. AF_12/2021</v>
      </c>
      <c r="D2529" s="1003"/>
      <c r="E2529" s="1003"/>
      <c r="F2529" s="1003"/>
      <c r="G2529" s="377" t="str">
        <f>ORÇAMENTO!E441</f>
        <v>M</v>
      </c>
      <c r="H2529" s="377">
        <f>H2530</f>
        <v>137.35999999999999</v>
      </c>
      <c r="I2529" s="379"/>
      <c r="J2529" s="377"/>
      <c r="K2529" s="379"/>
      <c r="L2529" s="377"/>
      <c r="M2529" s="379"/>
      <c r="N2529" s="377"/>
      <c r="O2529" s="379"/>
    </row>
    <row r="2530" spans="1:15" ht="12.75" customHeight="1">
      <c r="A2530" s="342"/>
      <c r="B2530" s="342"/>
      <c r="C2530" s="1024" t="s">
        <v>2132</v>
      </c>
      <c r="D2530" s="1024"/>
      <c r="E2530" s="1024"/>
      <c r="F2530" s="1024"/>
      <c r="G2530" s="343"/>
      <c r="H2530" s="617">
        <f>85.85*1.6</f>
        <v>137.35999999999999</v>
      </c>
      <c r="I2530" s="617"/>
      <c r="J2530" s="617"/>
      <c r="K2530" s="618"/>
      <c r="L2530" s="618"/>
      <c r="M2530" s="618"/>
      <c r="N2530" s="700"/>
      <c r="O2530" s="700"/>
    </row>
    <row r="2531" spans="1:15" ht="42" customHeight="1">
      <c r="A2531" s="377">
        <f>ORÇAMENTO!A442</f>
        <v>92980</v>
      </c>
      <c r="B2531" s="377" t="str">
        <f>ORÇAMENTO!C442</f>
        <v>15.02.44</v>
      </c>
      <c r="C2531" s="1003" t="str">
        <f>ORÇAMENTO!D442</f>
        <v>CABO DE COBRE FLEXÍVEL ISOLADO, 10 MM², ANTI-CHAMA 0,6/1,0 KV, PARA DISTRIBUIÇÃO - FORNECIMENTO E INSTALAÇÃO. AF_12/2015</v>
      </c>
      <c r="D2531" s="1003"/>
      <c r="E2531" s="1003"/>
      <c r="F2531" s="1003"/>
      <c r="G2531" s="377" t="str">
        <f>ORÇAMENTO!E442</f>
        <v>M</v>
      </c>
      <c r="H2531" s="377">
        <f>H2532</f>
        <v>28.8</v>
      </c>
      <c r="I2531" s="379"/>
      <c r="J2531" s="377"/>
      <c r="K2531" s="379"/>
      <c r="L2531" s="377"/>
      <c r="M2531" s="379"/>
      <c r="N2531" s="377"/>
      <c r="O2531" s="379"/>
    </row>
    <row r="2532" spans="1:15" ht="12.75" customHeight="1">
      <c r="A2532" s="342"/>
      <c r="B2532" s="342"/>
      <c r="C2532" s="1024" t="s">
        <v>2132</v>
      </c>
      <c r="D2532" s="1024"/>
      <c r="E2532" s="1024"/>
      <c r="F2532" s="1024"/>
      <c r="G2532" s="343"/>
      <c r="H2532" s="617">
        <f>18*1.6</f>
        <v>28.8</v>
      </c>
      <c r="I2532" s="617"/>
      <c r="J2532" s="617"/>
      <c r="K2532" s="618"/>
      <c r="L2532" s="618"/>
      <c r="M2532" s="618"/>
      <c r="N2532" s="700"/>
      <c r="O2532" s="700"/>
    </row>
    <row r="2533" spans="1:15" ht="39" customHeight="1">
      <c r="A2533" s="377">
        <f>ORÇAMENTO!A443</f>
        <v>91931</v>
      </c>
      <c r="B2533" s="377" t="str">
        <f>ORÇAMENTO!C443</f>
        <v>15.02.45</v>
      </c>
      <c r="C2533" s="1003" t="str">
        <f>ORÇAMENTO!D443</f>
        <v>CABO DE COBRE FLEXÍVEL ISOLADO, 6 MM², ANTI-CHAMA 0,6/1,0 KV, PARA CIRCUITOS TERMINAIS - FORNECIMENTO E INSTALAÇÃO. AF_03/2023</v>
      </c>
      <c r="D2533" s="1003"/>
      <c r="E2533" s="1003"/>
      <c r="F2533" s="1003"/>
      <c r="G2533" s="377" t="str">
        <f>ORÇAMENTO!E443</f>
        <v>M</v>
      </c>
      <c r="H2533" s="377">
        <f>H2534</f>
        <v>674.52</v>
      </c>
      <c r="I2533" s="379"/>
      <c r="J2533" s="377"/>
      <c r="K2533" s="379"/>
      <c r="L2533" s="377"/>
      <c r="M2533" s="379"/>
      <c r="N2533" s="377"/>
      <c r="O2533" s="379"/>
    </row>
    <row r="2534" spans="1:15" ht="12.75" customHeight="1">
      <c r="A2534" s="342"/>
      <c r="B2534" s="342"/>
      <c r="C2534" s="1024" t="s">
        <v>2133</v>
      </c>
      <c r="D2534" s="1024"/>
      <c r="E2534" s="1024"/>
      <c r="F2534" s="1024"/>
      <c r="G2534" s="343"/>
      <c r="H2534" s="617">
        <f>562.1*1.2</f>
        <v>674.52</v>
      </c>
      <c r="I2534" s="617"/>
      <c r="J2534" s="617"/>
      <c r="K2534" s="618"/>
      <c r="L2534" s="618"/>
      <c r="M2534" s="618"/>
      <c r="N2534" s="700"/>
      <c r="O2534" s="700"/>
    </row>
    <row r="2535" spans="1:15" ht="36.75" customHeight="1">
      <c r="A2535" s="344">
        <f>ORÇAMENTO!A444</f>
        <v>91929</v>
      </c>
      <c r="B2535" s="344" t="str">
        <f>ORÇAMENTO!C444</f>
        <v>15.02.46</v>
      </c>
      <c r="C2535" s="1014" t="str">
        <f>ORÇAMENTO!D444</f>
        <v>CABO DE COBRE FLEXÍVEL ISOLADO, 4 MM², ANTI-CHAMA 0,6/1,0 KV, PARA CIRCUITOS TERMINAIS - FORNECIMENTO E INSTALAÇÃO. AF_03/2023</v>
      </c>
      <c r="D2535" s="1014"/>
      <c r="E2535" s="1014"/>
      <c r="F2535" s="1014"/>
      <c r="G2535" s="344" t="str">
        <f>ORÇAMENTO!E445</f>
        <v>KG</v>
      </c>
      <c r="H2535" s="647">
        <f>H2536</f>
        <v>1075.6679999999999</v>
      </c>
      <c r="I2535" s="345"/>
      <c r="J2535" s="344"/>
      <c r="K2535" s="345"/>
      <c r="L2535" s="344"/>
      <c r="M2535" s="345"/>
      <c r="N2535" s="344"/>
      <c r="O2535" s="345"/>
    </row>
    <row r="2536" spans="1:15" ht="12.75" customHeight="1">
      <c r="A2536" s="342"/>
      <c r="B2536" s="342"/>
      <c r="C2536" s="1073" t="s">
        <v>2134</v>
      </c>
      <c r="D2536" s="1073"/>
      <c r="E2536" s="1073"/>
      <c r="F2536" s="1073"/>
      <c r="G2536" s="343"/>
      <c r="H2536" s="588">
        <f>896.39*1.2</f>
        <v>1075.6679999999999</v>
      </c>
      <c r="I2536" s="617"/>
      <c r="J2536" s="617"/>
      <c r="K2536" s="618"/>
      <c r="L2536" s="618"/>
      <c r="M2536" s="618"/>
      <c r="N2536" s="700"/>
      <c r="O2536" s="700"/>
    </row>
    <row r="2537" spans="1:15" ht="31.9" customHeight="1">
      <c r="A2537" s="377">
        <f>ORÇAMENTO!A445</f>
        <v>8082</v>
      </c>
      <c r="B2537" s="377" t="str">
        <f>ORÇAMENTO!C445</f>
        <v>15.02.47</v>
      </c>
      <c r="C2537" s="1003" t="str">
        <f>ORÇAMENTO!D445</f>
        <v>CABO DE COBRE NÚ 50 MM2 - FORNECIMENTO E ASSENTAMENTO (2,27M/KG)</v>
      </c>
      <c r="D2537" s="1003"/>
      <c r="E2537" s="1003"/>
      <c r="F2537" s="1003"/>
      <c r="G2537" s="377" t="str">
        <f>ORÇAMENTO!E445</f>
        <v>KG</v>
      </c>
      <c r="H2537" s="377">
        <f>H2538</f>
        <v>3.55</v>
      </c>
      <c r="I2537" s="379"/>
      <c r="J2537" s="377"/>
      <c r="K2537" s="379"/>
      <c r="L2537" s="377"/>
      <c r="M2537" s="379"/>
      <c r="N2537" s="377"/>
      <c r="O2537" s="379"/>
    </row>
    <row r="2538" spans="1:15" ht="12.75" customHeight="1">
      <c r="A2538" s="342"/>
      <c r="B2538" s="342"/>
      <c r="C2538" s="1024" t="s">
        <v>2135</v>
      </c>
      <c r="D2538" s="1024"/>
      <c r="E2538" s="1024"/>
      <c r="F2538" s="1024"/>
      <c r="G2538" s="343"/>
      <c r="H2538" s="617">
        <v>3.55</v>
      </c>
      <c r="I2538" s="617"/>
      <c r="J2538" s="617"/>
      <c r="K2538" s="618"/>
      <c r="L2538" s="618"/>
      <c r="M2538" s="618"/>
      <c r="N2538" s="700"/>
      <c r="O2538" s="700"/>
    </row>
    <row r="2539" spans="1:15" ht="12.75" customHeight="1">
      <c r="A2539" s="342"/>
      <c r="B2539" s="342"/>
      <c r="C2539" s="439"/>
      <c r="D2539" s="141"/>
      <c r="E2539" s="141"/>
      <c r="F2539" s="142"/>
      <c r="G2539" s="343"/>
      <c r="H2539" s="617"/>
      <c r="I2539" s="617"/>
      <c r="J2539" s="617"/>
      <c r="K2539" s="618"/>
      <c r="L2539" s="618"/>
      <c r="M2539" s="618"/>
      <c r="N2539" s="700"/>
      <c r="O2539" s="700"/>
    </row>
    <row r="2540" spans="1:15" ht="12.75" customHeight="1">
      <c r="A2540" s="373" t="s">
        <v>11</v>
      </c>
      <c r="B2540" s="375" t="s">
        <v>13</v>
      </c>
      <c r="C2540" s="1007" t="s">
        <v>1443</v>
      </c>
      <c r="D2540" s="1007"/>
      <c r="E2540" s="1007"/>
      <c r="F2540" s="1007"/>
      <c r="G2540" s="375" t="s">
        <v>15</v>
      </c>
      <c r="H2540" s="375" t="s">
        <v>1444</v>
      </c>
      <c r="I2540" s="375" t="s">
        <v>1445</v>
      </c>
      <c r="J2540" s="375" t="s">
        <v>1446</v>
      </c>
      <c r="K2540" s="375" t="s">
        <v>1447</v>
      </c>
      <c r="L2540" s="375" t="s">
        <v>1448</v>
      </c>
      <c r="M2540" s="375" t="s">
        <v>1457</v>
      </c>
      <c r="N2540" s="375" t="s">
        <v>1450</v>
      </c>
      <c r="O2540" s="375" t="s">
        <v>1451</v>
      </c>
    </row>
    <row r="2541" spans="1:15" ht="15" customHeight="1">
      <c r="A2541" s="376"/>
      <c r="B2541" s="376" t="str">
        <f>ORÇAMENTO!C446</f>
        <v>15.03</v>
      </c>
      <c r="C2541" s="1067" t="str">
        <f>ORÇAMENTO!D446</f>
        <v>REDE ESTABILIZADA</v>
      </c>
      <c r="D2541" s="1067"/>
      <c r="E2541" s="1067"/>
      <c r="F2541" s="1067"/>
      <c r="G2541" s="1072"/>
      <c r="H2541" s="1072"/>
      <c r="I2541" s="1072"/>
      <c r="J2541" s="1072"/>
      <c r="K2541" s="1072"/>
      <c r="L2541" s="1072"/>
      <c r="M2541" s="1072"/>
      <c r="N2541" s="1072"/>
      <c r="O2541" s="1072"/>
    </row>
    <row r="2542" spans="1:15" ht="44.25" customHeight="1">
      <c r="A2542" s="377">
        <f>ORÇAMENTO!A447</f>
        <v>92004</v>
      </c>
      <c r="B2542" s="377" t="str">
        <f>ORÇAMENTO!C447</f>
        <v>15.03.01</v>
      </c>
      <c r="C2542" s="1004" t="str">
        <f>ORÇAMENTO!D447</f>
        <v>TOMADA MÉDIA DE EMBUTIR (2 MÓDULOS), 2P+T 10 A, INCLUINDO SUPORTE E PLACA - FORNECIMENTO E INSTALAÇÃO. AF_12/2015 - LINHA PIAL PLUS OU SIMILAR</v>
      </c>
      <c r="D2542" s="1004"/>
      <c r="E2542" s="1004"/>
      <c r="F2542" s="1004"/>
      <c r="G2542" s="377" t="str">
        <f>ORÇAMENTO!E447</f>
        <v xml:space="preserve">UN </v>
      </c>
      <c r="H2542" s="383">
        <f>H2543</f>
        <v>38</v>
      </c>
      <c r="I2542" s="379"/>
      <c r="J2542" s="380"/>
      <c r="K2542" s="379"/>
      <c r="L2542" s="380"/>
      <c r="M2542" s="379"/>
      <c r="N2542" s="380"/>
      <c r="O2542" s="379"/>
    </row>
    <row r="2543" spans="1:15" s="122" customFormat="1" ht="15" customHeight="1">
      <c r="A2543" s="337"/>
      <c r="B2543" s="337"/>
      <c r="C2543" s="1062" t="s">
        <v>2136</v>
      </c>
      <c r="D2543" s="1062"/>
      <c r="E2543" s="1062"/>
      <c r="F2543" s="1062"/>
      <c r="G2543" s="389"/>
      <c r="H2543" s="584">
        <v>38</v>
      </c>
      <c r="I2543" s="582"/>
      <c r="J2543" s="582"/>
      <c r="K2543" s="583"/>
      <c r="L2543" s="583"/>
      <c r="M2543" s="583"/>
      <c r="N2543" s="589"/>
      <c r="O2543" s="589"/>
    </row>
    <row r="2544" spans="1:15" ht="27" customHeight="1">
      <c r="A2544" s="377">
        <f>ORÇAMENTO!A448</f>
        <v>780</v>
      </c>
      <c r="B2544" s="377" t="str">
        <f>ORÇAMENTO!C448</f>
        <v>15.03.02</v>
      </c>
      <c r="C2544" s="1004" t="str">
        <f>ORÇAMENTO!D448</f>
        <v>TOMADA 2P+T, ABNT, 10 A, PARA PISO, COM PLACA EM METAL AMARELO E CAIXA PVC</v>
      </c>
      <c r="D2544" s="1004"/>
      <c r="E2544" s="1004"/>
      <c r="F2544" s="1004"/>
      <c r="G2544" s="377" t="str">
        <f>ORÇAMENTO!E448</f>
        <v xml:space="preserve">UN </v>
      </c>
      <c r="H2544" s="383">
        <f>H2545</f>
        <v>4</v>
      </c>
      <c r="I2544" s="379"/>
      <c r="J2544" s="380"/>
      <c r="K2544" s="379"/>
      <c r="L2544" s="380"/>
      <c r="M2544" s="379"/>
      <c r="N2544" s="380"/>
      <c r="O2544" s="379"/>
    </row>
    <row r="2545" spans="1:15" s="122" customFormat="1" ht="15" customHeight="1">
      <c r="A2545" s="337"/>
      <c r="B2545" s="337"/>
      <c r="C2545" s="1062" t="s">
        <v>2137</v>
      </c>
      <c r="D2545" s="1062"/>
      <c r="E2545" s="1062"/>
      <c r="F2545" s="1062"/>
      <c r="G2545" s="389"/>
      <c r="H2545" s="584">
        <v>4</v>
      </c>
      <c r="I2545" s="582"/>
      <c r="J2545" s="582"/>
      <c r="K2545" s="583"/>
      <c r="L2545" s="583"/>
      <c r="M2545" s="583"/>
      <c r="N2545" s="589"/>
      <c r="O2545" s="589"/>
    </row>
    <row r="2546" spans="1:15" ht="30" customHeight="1">
      <c r="A2546" s="377">
        <f>ORÇAMENTO!A449</f>
        <v>711</v>
      </c>
      <c r="B2546" s="377" t="str">
        <f>ORÇAMENTO!C449</f>
        <v>15.03.03</v>
      </c>
      <c r="C2546" s="1004" t="str">
        <f>ORÇAMENTO!D449</f>
        <v>FORNECIMENTO E INSTALAÇÃO DE TAMPA CEGA (ESPELHO LISO) PARA CAIXA 4" X 2"</v>
      </c>
      <c r="D2546" s="1004"/>
      <c r="E2546" s="1004"/>
      <c r="F2546" s="1004"/>
      <c r="G2546" s="377" t="str">
        <f>ORÇAMENTO!E449</f>
        <v xml:space="preserve">UN </v>
      </c>
      <c r="H2546" s="383">
        <f>H2547</f>
        <v>4</v>
      </c>
      <c r="I2546" s="379"/>
      <c r="J2546" s="380"/>
      <c r="K2546" s="379"/>
      <c r="L2546" s="380"/>
      <c r="M2546" s="379"/>
      <c r="N2546" s="380"/>
      <c r="O2546" s="379"/>
    </row>
    <row r="2547" spans="1:15" s="122" customFormat="1" ht="15" customHeight="1">
      <c r="A2547" s="337"/>
      <c r="B2547" s="337"/>
      <c r="C2547" s="1062" t="s">
        <v>2138</v>
      </c>
      <c r="D2547" s="1062"/>
      <c r="E2547" s="1062"/>
      <c r="F2547" s="1062"/>
      <c r="G2547" s="389"/>
      <c r="H2547" s="584">
        <v>4</v>
      </c>
      <c r="I2547" s="582"/>
      <c r="J2547" s="582"/>
      <c r="K2547" s="583"/>
      <c r="L2547" s="583"/>
      <c r="M2547" s="583"/>
      <c r="N2547" s="589"/>
      <c r="O2547" s="589"/>
    </row>
    <row r="2548" spans="1:15" ht="15" customHeight="1">
      <c r="A2548" s="377">
        <f>ORÇAMENTO!A450</f>
        <v>8998</v>
      </c>
      <c r="B2548" s="377" t="str">
        <f>ORÇAMENTO!C450</f>
        <v>15.03.04</v>
      </c>
      <c r="C2548" s="1004" t="str">
        <f>ORÇAMENTO!D450</f>
        <v>PLACA CEGA PARA CAIXA DE PVC 4"X 4", P/ELETRODUTO</v>
      </c>
      <c r="D2548" s="1004"/>
      <c r="E2548" s="1004"/>
      <c r="F2548" s="1004"/>
      <c r="G2548" s="377" t="str">
        <f>ORÇAMENTO!E450</f>
        <v xml:space="preserve">UN </v>
      </c>
      <c r="H2548" s="383">
        <f>H2549</f>
        <v>6</v>
      </c>
      <c r="I2548" s="379"/>
      <c r="J2548" s="380"/>
      <c r="K2548" s="379"/>
      <c r="L2548" s="380"/>
      <c r="M2548" s="379"/>
      <c r="N2548" s="380"/>
      <c r="O2548" s="379"/>
    </row>
    <row r="2549" spans="1:15" s="122" customFormat="1" ht="15" customHeight="1">
      <c r="A2549" s="337"/>
      <c r="B2549" s="337"/>
      <c r="C2549" s="1062" t="s">
        <v>2138</v>
      </c>
      <c r="D2549" s="1062"/>
      <c r="E2549" s="1062"/>
      <c r="F2549" s="1062"/>
      <c r="G2549" s="389"/>
      <c r="H2549" s="584">
        <v>6</v>
      </c>
      <c r="I2549" s="582"/>
      <c r="J2549" s="582"/>
      <c r="K2549" s="583"/>
      <c r="L2549" s="583"/>
      <c r="M2549" s="583"/>
      <c r="N2549" s="589"/>
      <c r="O2549" s="589"/>
    </row>
    <row r="2550" spans="1:15" ht="30" customHeight="1">
      <c r="A2550" s="377">
        <f>ORÇAMENTO!A451</f>
        <v>698</v>
      </c>
      <c r="B2550" s="377" t="str">
        <f>ORÇAMENTO!C451</f>
        <v>15.03.05</v>
      </c>
      <c r="C2550" s="1003" t="str">
        <f>ORÇAMENTO!D451</f>
        <v>FORNECIMENTO E COLOCAÇÃO DE ANILHA PARA IDENTIFICAÇÃO</v>
      </c>
      <c r="D2550" s="1003"/>
      <c r="E2550" s="1003"/>
      <c r="F2550" s="1003"/>
      <c r="G2550" s="377" t="str">
        <f>ORÇAMENTO!E453</f>
        <v xml:space="preserve">UN </v>
      </c>
      <c r="H2550" s="380">
        <f>H2551</f>
        <v>132</v>
      </c>
      <c r="I2550" s="379"/>
      <c r="J2550" s="380"/>
      <c r="K2550" s="379"/>
      <c r="L2550" s="380"/>
      <c r="M2550" s="379"/>
      <c r="N2550" s="380"/>
      <c r="O2550" s="379"/>
    </row>
    <row r="2551" spans="1:15" s="122" customFormat="1" ht="15" customHeight="1">
      <c r="A2551" s="337"/>
      <c r="B2551" s="337"/>
      <c r="C2551" s="1062" t="s">
        <v>2139</v>
      </c>
      <c r="D2551" s="1062"/>
      <c r="E2551" s="1062"/>
      <c r="F2551" s="1062"/>
      <c r="G2551" s="389" t="s">
        <v>55</v>
      </c>
      <c r="H2551" s="582">
        <v>132</v>
      </c>
      <c r="I2551" s="582"/>
      <c r="J2551" s="582"/>
      <c r="K2551" s="583"/>
      <c r="L2551" s="583"/>
      <c r="M2551" s="583"/>
      <c r="N2551" s="589"/>
      <c r="O2551" s="589"/>
    </row>
    <row r="2552" spans="1:15" s="122" customFormat="1" ht="27" customHeight="1">
      <c r="A2552" s="377">
        <f>ORÇAMENTO!A452</f>
        <v>93654</v>
      </c>
      <c r="B2552" s="377" t="str">
        <f>ORÇAMENTO!C452</f>
        <v>15.03.06</v>
      </c>
      <c r="C2552" s="1003" t="str">
        <f>ORÇAMENTO!D452</f>
        <v>DISJUNTOR MONOPOLAR TIPO DIN, CORRENTE NOMINAL DE 16A - FORNECIMENTO E INSTALAÇÃO. AF_10/2020</v>
      </c>
      <c r="D2552" s="1003"/>
      <c r="E2552" s="1003"/>
      <c r="F2552" s="1003"/>
      <c r="G2552" s="377" t="str">
        <f>ORÇAMENTO!E452</f>
        <v xml:space="preserve">UN </v>
      </c>
      <c r="H2552" s="380">
        <f>H2553</f>
        <v>4</v>
      </c>
      <c r="I2552" s="379"/>
      <c r="J2552" s="380"/>
      <c r="K2552" s="379"/>
      <c r="L2552" s="380"/>
      <c r="M2552" s="379"/>
      <c r="N2552" s="380"/>
      <c r="O2552" s="379"/>
    </row>
    <row r="2553" spans="1:15" s="122" customFormat="1" ht="15" customHeight="1">
      <c r="A2553" s="337"/>
      <c r="B2553" s="337"/>
      <c r="C2553" s="1062" t="s">
        <v>2140</v>
      </c>
      <c r="D2553" s="1062"/>
      <c r="E2553" s="1062"/>
      <c r="F2553" s="1062"/>
      <c r="G2553" s="389" t="s">
        <v>55</v>
      </c>
      <c r="H2553" s="582">
        <v>4</v>
      </c>
      <c r="I2553" s="582"/>
      <c r="J2553" s="582"/>
      <c r="K2553" s="583"/>
      <c r="L2553" s="583"/>
      <c r="M2553" s="583"/>
      <c r="N2553" s="589"/>
      <c r="O2553" s="589"/>
    </row>
    <row r="2554" spans="1:15" ht="34.5" customHeight="1">
      <c r="A2554" s="377">
        <f>ORÇAMENTO!A453</f>
        <v>93655</v>
      </c>
      <c r="B2554" s="377" t="str">
        <f>ORÇAMENTO!C453</f>
        <v>15.03.07</v>
      </c>
      <c r="C2554" s="1004" t="str">
        <f>ORÇAMENTO!D453</f>
        <v>DISJUNTOR MONOPOLAR TIPO DIN, CORRENTE NOMINAL DE 20A - FORNECIMENTO E INSTALAÇÃO. AF_04/2016</v>
      </c>
      <c r="D2554" s="1004"/>
      <c r="E2554" s="1004"/>
      <c r="F2554" s="1004"/>
      <c r="G2554" s="377" t="str">
        <f>ORÇAMENTO!E453</f>
        <v xml:space="preserve">UN </v>
      </c>
      <c r="H2554" s="380">
        <f>H2555</f>
        <v>4</v>
      </c>
      <c r="I2554" s="379"/>
      <c r="J2554" s="380"/>
      <c r="K2554" s="379"/>
      <c r="L2554" s="380"/>
      <c r="M2554" s="379"/>
      <c r="N2554" s="380"/>
      <c r="O2554" s="379"/>
    </row>
    <row r="2555" spans="1:15" s="122" customFormat="1" ht="15" customHeight="1">
      <c r="A2555" s="337" t="s">
        <v>2141</v>
      </c>
      <c r="B2555" s="337"/>
      <c r="C2555" s="1062" t="s">
        <v>2142</v>
      </c>
      <c r="D2555" s="1062"/>
      <c r="E2555" s="1062"/>
      <c r="F2555" s="1062"/>
      <c r="G2555" s="389" t="s">
        <v>55</v>
      </c>
      <c r="H2555" s="582">
        <v>4</v>
      </c>
      <c r="I2555" s="582"/>
      <c r="J2555" s="582"/>
      <c r="K2555" s="583"/>
      <c r="L2555" s="583"/>
      <c r="M2555" s="583"/>
      <c r="N2555" s="589"/>
      <c r="O2555" s="589"/>
    </row>
    <row r="2556" spans="1:15" ht="43.5" customHeight="1">
      <c r="A2556" s="377">
        <f>ORÇAMENTO!A454</f>
        <v>91854</v>
      </c>
      <c r="B2556" s="377" t="str">
        <f>ORÇAMENTO!C454</f>
        <v>15.03.08</v>
      </c>
      <c r="C2556" s="1004" t="str">
        <f>ORÇAMENTO!D454</f>
        <v>ELETRODUTO FLEXÍVEL CORRUGADO, PVC, DN 25 MM (3/4"), PARA CIRCUITOS TERMINAIS, INSTALADO EM PAREDE - FORNECIMENTO E INSTALAÇÃO. AF_12/2015</v>
      </c>
      <c r="D2556" s="1004"/>
      <c r="E2556" s="1004"/>
      <c r="F2556" s="1004"/>
      <c r="G2556" s="377" t="str">
        <f>ORÇAMENTO!E454</f>
        <v>M</v>
      </c>
      <c r="H2556" s="380">
        <f>H2557</f>
        <v>185.7</v>
      </c>
      <c r="I2556" s="379"/>
      <c r="J2556" s="380"/>
      <c r="K2556" s="379"/>
      <c r="L2556" s="380"/>
      <c r="M2556" s="379"/>
      <c r="N2556" s="380"/>
      <c r="O2556" s="379"/>
    </row>
    <row r="2557" spans="1:15" s="122" customFormat="1" ht="12.75" customHeight="1">
      <c r="A2557" s="337"/>
      <c r="B2557" s="337"/>
      <c r="C2557" s="1015" t="s">
        <v>2138</v>
      </c>
      <c r="D2557" s="1015"/>
      <c r="E2557" s="1015"/>
      <c r="F2557" s="1015"/>
      <c r="G2557" s="389" t="s">
        <v>246</v>
      </c>
      <c r="H2557" s="582">
        <f>154.75*1.2</f>
        <v>185.7</v>
      </c>
      <c r="I2557" s="582"/>
      <c r="J2557" s="582"/>
      <c r="K2557" s="583"/>
      <c r="L2557" s="583"/>
      <c r="M2557" s="583"/>
      <c r="N2557" s="589"/>
      <c r="O2557" s="589"/>
    </row>
    <row r="2558" spans="1:15" ht="38.25" customHeight="1">
      <c r="A2558" s="377">
        <f>ORÇAMENTO!A455</f>
        <v>91926</v>
      </c>
      <c r="B2558" s="377" t="str">
        <f>ORÇAMENTO!C455</f>
        <v>15.03.09</v>
      </c>
      <c r="C2558" s="1071" t="str">
        <f>ORÇAMENTO!D455</f>
        <v>CABO DE COBRE FLEXÍVEL ISOLADO, 2,5 MM², ANTI-CHAMA 450/750 V, PARA CIRCUITOS TERMINAIS - FORNECIMENTO E INSTALAÇÃO. AF_12/2015</v>
      </c>
      <c r="D2558" s="1071"/>
      <c r="E2558" s="1071"/>
      <c r="F2558" s="1071"/>
      <c r="G2558" s="377" t="str">
        <f>ORÇAMENTO!E455</f>
        <v>M</v>
      </c>
      <c r="H2558" s="380">
        <f>H2559</f>
        <v>842.75999999999988</v>
      </c>
      <c r="I2558" s="379"/>
      <c r="J2558" s="380"/>
      <c r="K2558" s="379"/>
      <c r="L2558" s="380"/>
      <c r="M2558" s="379"/>
      <c r="N2558" s="380"/>
      <c r="O2558" s="379"/>
    </row>
    <row r="2559" spans="1:15" s="122" customFormat="1" ht="12.75" customHeight="1">
      <c r="A2559" s="337"/>
      <c r="B2559" s="337"/>
      <c r="C2559" s="1062" t="s">
        <v>2143</v>
      </c>
      <c r="D2559" s="1062"/>
      <c r="E2559" s="1062"/>
      <c r="F2559" s="1062"/>
      <c r="G2559" s="389" t="s">
        <v>55</v>
      </c>
      <c r="H2559" s="582">
        <f>702.3*1.2</f>
        <v>842.75999999999988</v>
      </c>
      <c r="I2559" s="582"/>
      <c r="J2559" s="582"/>
      <c r="K2559" s="583"/>
      <c r="L2559" s="583"/>
      <c r="M2559" s="583"/>
      <c r="N2559" s="589"/>
      <c r="O2559" s="589"/>
    </row>
    <row r="2560" spans="1:15" ht="12.75" customHeight="1">
      <c r="A2560" s="373" t="s">
        <v>11</v>
      </c>
      <c r="B2560" s="375" t="s">
        <v>13</v>
      </c>
      <c r="C2560" s="1007" t="s">
        <v>1443</v>
      </c>
      <c r="D2560" s="1007"/>
      <c r="E2560" s="1007"/>
      <c r="F2560" s="1007"/>
      <c r="G2560" s="375" t="s">
        <v>15</v>
      </c>
      <c r="H2560" s="375" t="s">
        <v>1444</v>
      </c>
      <c r="I2560" s="375" t="s">
        <v>1445</v>
      </c>
      <c r="J2560" s="375" t="s">
        <v>1446</v>
      </c>
      <c r="K2560" s="375" t="s">
        <v>1447</v>
      </c>
      <c r="L2560" s="375" t="s">
        <v>1448</v>
      </c>
      <c r="M2560" s="375" t="s">
        <v>1457</v>
      </c>
      <c r="N2560" s="375" t="s">
        <v>1450</v>
      </c>
      <c r="O2560" s="375" t="s">
        <v>1451</v>
      </c>
    </row>
    <row r="2561" spans="1:15">
      <c r="A2561" s="376"/>
      <c r="B2561" s="376" t="str">
        <f>ORÇAMENTO!C456</f>
        <v>15.04</v>
      </c>
      <c r="C2561" s="1075" t="str">
        <f>ORÇAMENTO!D456</f>
        <v>ATERRAMENTO - SPDA</v>
      </c>
      <c r="D2561" s="1075"/>
      <c r="E2561" s="1075"/>
      <c r="F2561" s="1075"/>
      <c r="G2561" s="1072"/>
      <c r="H2561" s="1072"/>
      <c r="I2561" s="1072"/>
      <c r="J2561" s="1072"/>
      <c r="K2561" s="1072"/>
      <c r="L2561" s="1072"/>
      <c r="M2561" s="1072"/>
      <c r="N2561" s="1072"/>
      <c r="O2561" s="1072"/>
    </row>
    <row r="2562" spans="1:15" ht="54" customHeight="1">
      <c r="A2562" s="377">
        <f>ORÇAMENTO!A457</f>
        <v>824</v>
      </c>
      <c r="B2562" s="377" t="str">
        <f>ORÇAMENTO!C457</f>
        <v>15.04.01</v>
      </c>
      <c r="C2562" s="1047" t="str">
        <f>ORÇAMENTO!D457</f>
        <v xml:space="preserve">PÁRA-RAIO TIPO FRANKLIN 350MM, LATÃO CROMADO, PARA DESCIDA 1 CABO, C/SUPORTE E CONECTORES P/CABO TERRA, INCLUSIVE MASTRO AÇO GALV 3MX2" E BASE </v>
      </c>
      <c r="D2562" s="1047"/>
      <c r="E2562" s="1047"/>
      <c r="F2562" s="1047"/>
      <c r="G2562" s="377" t="str">
        <f>ORÇAMENTO!E457</f>
        <v xml:space="preserve">UN </v>
      </c>
      <c r="H2562" s="377">
        <f>H2563</f>
        <v>1</v>
      </c>
      <c r="I2562" s="379"/>
      <c r="J2562" s="377"/>
      <c r="K2562" s="379"/>
      <c r="L2562" s="377"/>
      <c r="M2562" s="379"/>
      <c r="N2562" s="377"/>
      <c r="O2562" s="379"/>
    </row>
    <row r="2563" spans="1:15">
      <c r="A2563" s="342"/>
      <c r="B2563" s="342"/>
      <c r="C2563" s="1019" t="s">
        <v>2144</v>
      </c>
      <c r="D2563" s="1019"/>
      <c r="E2563" s="1019"/>
      <c r="F2563" s="1019"/>
      <c r="G2563" s="389" t="s">
        <v>55</v>
      </c>
      <c r="H2563" s="617">
        <v>1</v>
      </c>
      <c r="I2563" s="617"/>
      <c r="J2563" s="617"/>
      <c r="K2563" s="618"/>
      <c r="L2563" s="618"/>
      <c r="M2563" s="618"/>
      <c r="N2563" s="700"/>
      <c r="O2563" s="700"/>
    </row>
    <row r="2564" spans="1:15" ht="24" customHeight="1">
      <c r="A2564" s="377">
        <f>ORÇAMENTO!A458</f>
        <v>8795</v>
      </c>
      <c r="B2564" s="377" t="str">
        <f>ORÇAMENTO!C458</f>
        <v>15.04.02</v>
      </c>
      <c r="C2564" s="1047" t="str">
        <f>ORÇAMENTO!D458</f>
        <v>TERMINAL AÉREO EM AÇO GALVANIZADO 3/8" X 50CM, COM FIXAÇÃO HORIZONTAL</v>
      </c>
      <c r="D2564" s="1047"/>
      <c r="E2564" s="1047"/>
      <c r="F2564" s="1047"/>
      <c r="G2564" s="377" t="str">
        <f>ORÇAMENTO!E458</f>
        <v xml:space="preserve">UN </v>
      </c>
      <c r="H2564" s="377">
        <f>H2565</f>
        <v>8</v>
      </c>
      <c r="I2564" s="379"/>
      <c r="J2564" s="377"/>
      <c r="K2564" s="379"/>
      <c r="L2564" s="377"/>
      <c r="M2564" s="379"/>
      <c r="N2564" s="377"/>
      <c r="O2564" s="379"/>
    </row>
    <row r="2565" spans="1:15">
      <c r="A2565" s="342"/>
      <c r="B2565" s="342"/>
      <c r="C2565" s="1019" t="s">
        <v>2144</v>
      </c>
      <c r="D2565" s="1019"/>
      <c r="E2565" s="1019"/>
      <c r="F2565" s="1019"/>
      <c r="G2565" s="389" t="s">
        <v>55</v>
      </c>
      <c r="H2565" s="617">
        <v>8</v>
      </c>
      <c r="I2565" s="617"/>
      <c r="J2565" s="617"/>
      <c r="K2565" s="618"/>
      <c r="L2565" s="618"/>
      <c r="M2565" s="618"/>
      <c r="N2565" s="700"/>
      <c r="O2565" s="700"/>
    </row>
    <row r="2566" spans="1:15" ht="12.75" customHeight="1">
      <c r="A2566" s="377">
        <f>ORÇAMENTO!A459</f>
        <v>8389</v>
      </c>
      <c r="B2566" s="377" t="str">
        <f>ORÇAMENTO!C459</f>
        <v>15.04.03</v>
      </c>
      <c r="C2566" s="1047" t="str">
        <f>ORÇAMENTO!D459</f>
        <v>CLIPS 5/8" PARA HASTE DE ATERRAMENTO GALVANIZADA REF:TEL-5238</v>
      </c>
      <c r="D2566" s="1047"/>
      <c r="E2566" s="1047"/>
      <c r="F2566" s="1047"/>
      <c r="G2566" s="377" t="str">
        <f>ORÇAMENTO!E459</f>
        <v xml:space="preserve">UN </v>
      </c>
      <c r="H2566" s="377">
        <f>H2567</f>
        <v>14</v>
      </c>
      <c r="I2566" s="379"/>
      <c r="J2566" s="377"/>
      <c r="K2566" s="379"/>
      <c r="L2566" s="377"/>
      <c r="M2566" s="379"/>
      <c r="N2566" s="377"/>
      <c r="O2566" s="379"/>
    </row>
    <row r="2567" spans="1:15" ht="12.75" customHeight="1">
      <c r="A2567" s="342"/>
      <c r="B2567" s="342"/>
      <c r="C2567" s="1019" t="s">
        <v>2144</v>
      </c>
      <c r="D2567" s="1019"/>
      <c r="E2567" s="1019"/>
      <c r="F2567" s="1019"/>
      <c r="G2567" s="389" t="s">
        <v>55</v>
      </c>
      <c r="H2567" s="617">
        <v>14</v>
      </c>
      <c r="I2567" s="617"/>
      <c r="J2567" s="617"/>
      <c r="K2567" s="618"/>
      <c r="L2567" s="618"/>
      <c r="M2567" s="618"/>
      <c r="N2567" s="700"/>
      <c r="O2567" s="700"/>
    </row>
    <row r="2568" spans="1:15" ht="29.25" customHeight="1">
      <c r="A2568" s="377">
        <f>ORÇAMENTO!A460</f>
        <v>10694</v>
      </c>
      <c r="B2568" s="377" t="str">
        <f>ORÇAMENTO!C460</f>
        <v>15.04.04</v>
      </c>
      <c r="C2568" s="1047" t="str">
        <f>ORÇAMENTO!D460</f>
        <v>CONECTOR SPLIT BOLT PARA CABO DE COBRE NU #35 MM2 - FORNECIMENTO E INSTALAÇÃO</v>
      </c>
      <c r="D2568" s="1047"/>
      <c r="E2568" s="1047"/>
      <c r="F2568" s="1047"/>
      <c r="G2568" s="377" t="str">
        <f>ORÇAMENTO!E460</f>
        <v xml:space="preserve">UN </v>
      </c>
      <c r="H2568" s="377">
        <f>H2569</f>
        <v>30</v>
      </c>
      <c r="I2568" s="379"/>
      <c r="J2568" s="377"/>
      <c r="K2568" s="379"/>
      <c r="L2568" s="377"/>
      <c r="M2568" s="379"/>
      <c r="N2568" s="377"/>
      <c r="O2568" s="379"/>
    </row>
    <row r="2569" spans="1:15">
      <c r="A2569" s="342"/>
      <c r="B2569" s="342"/>
      <c r="C2569" s="1002" t="s">
        <v>2144</v>
      </c>
      <c r="D2569" s="1002"/>
      <c r="E2569" s="1002"/>
      <c r="F2569" s="1002"/>
      <c r="G2569" s="389" t="s">
        <v>55</v>
      </c>
      <c r="H2569" s="617">
        <v>30</v>
      </c>
      <c r="I2569" s="617"/>
      <c r="J2569" s="617"/>
      <c r="K2569" s="618"/>
      <c r="L2569" s="618"/>
      <c r="M2569" s="618"/>
      <c r="N2569" s="700"/>
      <c r="O2569" s="700"/>
    </row>
    <row r="2570" spans="1:15" ht="32.25" customHeight="1">
      <c r="A2570" s="377">
        <f>ORÇAMENTO!A461</f>
        <v>9900</v>
      </c>
      <c r="B2570" s="377" t="str">
        <f>ORÇAMENTO!C461</f>
        <v>15.04.05</v>
      </c>
      <c r="C2570" s="1047" t="str">
        <f>ORÇAMENTO!D461</f>
        <v>CONECTOR DE PRESSÃO PARA CABO NU DE 35MM² - FORNECIMENTO E INSTALAÇÃO</v>
      </c>
      <c r="D2570" s="1047"/>
      <c r="E2570" s="1047"/>
      <c r="F2570" s="1047"/>
      <c r="G2570" s="377" t="str">
        <f>ORÇAMENTO!E461</f>
        <v xml:space="preserve">UN </v>
      </c>
      <c r="H2570" s="377">
        <f>H2571</f>
        <v>16</v>
      </c>
      <c r="I2570" s="379"/>
      <c r="J2570" s="377"/>
      <c r="K2570" s="379"/>
      <c r="L2570" s="377"/>
      <c r="M2570" s="379"/>
      <c r="N2570" s="377"/>
      <c r="O2570" s="379"/>
    </row>
    <row r="2571" spans="1:15" ht="12.75" customHeight="1">
      <c r="A2571" s="342"/>
      <c r="B2571" s="342"/>
      <c r="C2571" s="1019" t="s">
        <v>2144</v>
      </c>
      <c r="D2571" s="1019"/>
      <c r="E2571" s="1019"/>
      <c r="F2571" s="1019"/>
      <c r="G2571" s="389" t="s">
        <v>55</v>
      </c>
      <c r="H2571" s="617">
        <v>16</v>
      </c>
      <c r="I2571" s="617"/>
      <c r="J2571" s="617"/>
      <c r="K2571" s="618"/>
      <c r="L2571" s="618"/>
      <c r="M2571" s="618"/>
      <c r="N2571" s="700"/>
      <c r="O2571" s="700"/>
    </row>
    <row r="2572" spans="1:15" ht="27" customHeight="1">
      <c r="A2572" s="377">
        <f>ORÇAMENTO!A462</f>
        <v>10091</v>
      </c>
      <c r="B2572" s="377" t="str">
        <f>ORÇAMENTO!C462</f>
        <v>15.04.06</v>
      </c>
      <c r="C2572" s="1047" t="str">
        <f>ORÇAMENTO!D462</f>
        <v>FIXADOR TIPO ÔMEGA EM COBRE, L=15MM, C/FUROS D=5,5MM E TRAVA P/CABO DE 35MM², REF:TEL-833 OU SIMILAR (P/SPDA)</v>
      </c>
      <c r="D2572" s="1047"/>
      <c r="E2572" s="1047"/>
      <c r="F2572" s="1047"/>
      <c r="G2572" s="377" t="str">
        <f>ORÇAMENTO!E462</f>
        <v xml:space="preserve">UN </v>
      </c>
      <c r="H2572" s="377">
        <f>H2573</f>
        <v>180</v>
      </c>
      <c r="I2572" s="379"/>
      <c r="J2572" s="377"/>
      <c r="K2572" s="379"/>
      <c r="L2572" s="377"/>
      <c r="M2572" s="379"/>
      <c r="N2572" s="377"/>
      <c r="O2572" s="379"/>
    </row>
    <row r="2573" spans="1:15" ht="12.75" customHeight="1">
      <c r="A2573" s="342"/>
      <c r="B2573" s="342"/>
      <c r="C2573" s="1019" t="s">
        <v>2144</v>
      </c>
      <c r="D2573" s="1019"/>
      <c r="E2573" s="1019"/>
      <c r="F2573" s="1019"/>
      <c r="G2573" s="389" t="s">
        <v>55</v>
      </c>
      <c r="H2573" s="617">
        <v>180</v>
      </c>
      <c r="I2573" s="617"/>
      <c r="J2573" s="617"/>
      <c r="K2573" s="618"/>
      <c r="L2573" s="618"/>
      <c r="M2573" s="618"/>
      <c r="N2573" s="700"/>
      <c r="O2573" s="700"/>
    </row>
    <row r="2574" spans="1:15" ht="51" customHeight="1">
      <c r="A2574" s="377">
        <f>ORÇAMENTO!A463</f>
        <v>11132</v>
      </c>
      <c r="B2574" s="377" t="str">
        <f>ORÇAMENTO!C463</f>
        <v>15.04.07</v>
      </c>
      <c r="C2574" s="1047" t="str">
        <f>ORÇAMENTO!D463</f>
        <v>PRESILHA DE LATÃO, L=20MM, PARA FIXAÇÃO DE CABOS DE COBRE, FURO D=5MM, PARA CABOS 35MM² A 50MM², REF:TEL-744 OU SIMILAR (SPDA)</v>
      </c>
      <c r="D2574" s="1047"/>
      <c r="E2574" s="1047"/>
      <c r="F2574" s="1047"/>
      <c r="G2574" s="377" t="str">
        <f>ORÇAMENTO!E463</f>
        <v xml:space="preserve">UN </v>
      </c>
      <c r="H2574" s="377">
        <f>H2575</f>
        <v>308</v>
      </c>
      <c r="I2574" s="379"/>
      <c r="J2574" s="377"/>
      <c r="K2574" s="379"/>
      <c r="L2574" s="377"/>
      <c r="M2574" s="379"/>
      <c r="N2574" s="377"/>
      <c r="O2574" s="379"/>
    </row>
    <row r="2575" spans="1:15" ht="12.75" customHeight="1">
      <c r="A2575" s="342"/>
      <c r="B2575" s="342"/>
      <c r="C2575" s="1019" t="s">
        <v>2144</v>
      </c>
      <c r="D2575" s="1019"/>
      <c r="E2575" s="1019"/>
      <c r="F2575" s="1019"/>
      <c r="G2575" s="389" t="s">
        <v>55</v>
      </c>
      <c r="H2575" s="617">
        <v>308</v>
      </c>
      <c r="I2575" s="617"/>
      <c r="J2575" s="617"/>
      <c r="K2575" s="618"/>
      <c r="L2575" s="618"/>
      <c r="M2575" s="618"/>
      <c r="N2575" s="700"/>
      <c r="O2575" s="700"/>
    </row>
    <row r="2576" spans="1:15" ht="31.5" customHeight="1">
      <c r="A2576" s="377">
        <f>ORÇAMENTO!A464</f>
        <v>11039</v>
      </c>
      <c r="B2576" s="377" t="str">
        <f>ORÇAMENTO!C464</f>
        <v>15.04.08</v>
      </c>
      <c r="C2576" s="1047" t="str">
        <f>ORÇAMENTO!D464</f>
        <v>PARAFUSO AUTO-ATARRAXANTE EM AÇO INOX - 4,2 X 32MM - FORNECIMENTO E COLOCAÇÃO</v>
      </c>
      <c r="D2576" s="1047"/>
      <c r="E2576" s="1047"/>
      <c r="F2576" s="1047"/>
      <c r="G2576" s="377" t="str">
        <f>ORÇAMENTO!E464</f>
        <v xml:space="preserve">UN </v>
      </c>
      <c r="H2576" s="377">
        <f>H2577</f>
        <v>308</v>
      </c>
      <c r="I2576" s="379"/>
      <c r="J2576" s="377"/>
      <c r="K2576" s="379"/>
      <c r="L2576" s="377"/>
      <c r="M2576" s="379"/>
      <c r="N2576" s="377"/>
      <c r="O2576" s="379"/>
    </row>
    <row r="2577" spans="1:15">
      <c r="A2577" s="342"/>
      <c r="B2577" s="342"/>
      <c r="C2577" s="1002" t="s">
        <v>2145</v>
      </c>
      <c r="D2577" s="1002"/>
      <c r="E2577" s="1002"/>
      <c r="F2577" s="1002"/>
      <c r="G2577" s="389" t="s">
        <v>55</v>
      </c>
      <c r="H2577" s="617">
        <v>308</v>
      </c>
      <c r="I2577" s="617"/>
      <c r="J2577" s="617"/>
      <c r="K2577" s="618"/>
      <c r="L2577" s="618"/>
      <c r="M2577" s="618"/>
      <c r="N2577" s="700"/>
      <c r="O2577" s="700"/>
    </row>
    <row r="2578" spans="1:15" ht="12.75" customHeight="1">
      <c r="A2578" s="377">
        <f>ORÇAMENTO!A465</f>
        <v>10908</v>
      </c>
      <c r="B2578" s="377" t="str">
        <f>ORÇAMENTO!C465</f>
        <v>15.04.09</v>
      </c>
      <c r="C2578" s="1047" t="str">
        <f>ORÇAMENTO!D465</f>
        <v>BARRA DE AÇO REDONDA RE-BAR3/8" X 3,00M</v>
      </c>
      <c r="D2578" s="1047"/>
      <c r="E2578" s="1047"/>
      <c r="F2578" s="1047"/>
      <c r="G2578" s="377" t="str">
        <f>ORÇAMENTO!E465</f>
        <v xml:space="preserve">UN </v>
      </c>
      <c r="H2578" s="377">
        <f>H2579</f>
        <v>14</v>
      </c>
      <c r="I2578" s="379"/>
      <c r="J2578" s="377"/>
      <c r="K2578" s="379"/>
      <c r="L2578" s="377"/>
      <c r="M2578" s="379"/>
      <c r="N2578" s="377"/>
      <c r="O2578" s="379"/>
    </row>
    <row r="2579" spans="1:15">
      <c r="A2579" s="342"/>
      <c r="B2579" s="342"/>
      <c r="C2579" s="1002" t="s">
        <v>2146</v>
      </c>
      <c r="D2579" s="1002"/>
      <c r="E2579" s="1002"/>
      <c r="F2579" s="1002"/>
      <c r="G2579" s="389"/>
      <c r="H2579" s="617">
        <v>14</v>
      </c>
      <c r="I2579" s="617"/>
      <c r="J2579" s="617"/>
      <c r="K2579" s="618"/>
      <c r="L2579" s="618"/>
      <c r="M2579" s="618"/>
      <c r="N2579" s="700"/>
      <c r="O2579" s="700"/>
    </row>
    <row r="2580" spans="1:15" ht="27" customHeight="1">
      <c r="A2580" s="377">
        <f>ORÇAMENTO!A466</f>
        <v>11133</v>
      </c>
      <c r="B2580" s="377" t="str">
        <f>ORÇAMENTO!C466</f>
        <v>15.04.10</v>
      </c>
      <c r="C2580" s="1047" t="str">
        <f>ORÇAMENTO!D466</f>
        <v>GRAMPO ESTAMPADO TIPO "X", EM COBRE, COM 04 PARAFUSOS, PARA CABOS DE COBRE NU 35MM² - TEL- 853 (SPDA)</v>
      </c>
      <c r="D2580" s="1047"/>
      <c r="E2580" s="1047"/>
      <c r="F2580" s="1047"/>
      <c r="G2580" s="377" t="str">
        <f>ORÇAMENTO!E466</f>
        <v xml:space="preserve">UN </v>
      </c>
      <c r="H2580" s="377">
        <f>H2581</f>
        <v>1</v>
      </c>
      <c r="I2580" s="379"/>
      <c r="J2580" s="377"/>
      <c r="K2580" s="379"/>
      <c r="L2580" s="377"/>
      <c r="M2580" s="379"/>
      <c r="N2580" s="377"/>
      <c r="O2580" s="379"/>
    </row>
    <row r="2581" spans="1:15" ht="12.75" customHeight="1">
      <c r="A2581" s="342"/>
      <c r="B2581" s="342"/>
      <c r="C2581" s="1019" t="s">
        <v>2144</v>
      </c>
      <c r="D2581" s="1019"/>
      <c r="E2581" s="1019"/>
      <c r="F2581" s="1019"/>
      <c r="G2581" s="389"/>
      <c r="H2581" s="617">
        <v>1</v>
      </c>
      <c r="I2581" s="617"/>
      <c r="J2581" s="617"/>
      <c r="K2581" s="618"/>
      <c r="L2581" s="618"/>
      <c r="M2581" s="618"/>
      <c r="N2581" s="700"/>
      <c r="O2581" s="700"/>
    </row>
    <row r="2582" spans="1:15" ht="12.75" customHeight="1">
      <c r="A2582" s="342"/>
      <c r="B2582" s="342"/>
      <c r="C2582" s="1019" t="s">
        <v>2144</v>
      </c>
      <c r="D2582" s="1019"/>
      <c r="E2582" s="1019"/>
      <c r="F2582" s="1019"/>
      <c r="G2582" s="389"/>
      <c r="H2582" s="617">
        <v>240</v>
      </c>
      <c r="I2582" s="617"/>
      <c r="J2582" s="617"/>
      <c r="K2582" s="618"/>
      <c r="L2582" s="618"/>
      <c r="M2582" s="618"/>
      <c r="N2582" s="700"/>
      <c r="O2582" s="700"/>
    </row>
    <row r="2583" spans="1:15" ht="12.75" customHeight="1">
      <c r="A2583" s="377" t="str">
        <f>ORÇAMENTO!A467</f>
        <v>I-09691</v>
      </c>
      <c r="B2583" s="377" t="str">
        <f>ORÇAMENTO!C467</f>
        <v>15.04.11</v>
      </c>
      <c r="C2583" s="1047" t="str">
        <f>ORÇAMENTO!D467</f>
        <v>MOLDE DE SOLDA EXOTÉRMICA 5/8</v>
      </c>
      <c r="D2583" s="1047"/>
      <c r="E2583" s="1047"/>
      <c r="F2583" s="1047"/>
      <c r="G2583" s="377" t="str">
        <f>ORÇAMENTO!E467</f>
        <v xml:space="preserve">UN </v>
      </c>
      <c r="H2583" s="377">
        <f>SUM(H2584:H2584)</f>
        <v>14</v>
      </c>
      <c r="I2583" s="379"/>
      <c r="J2583" s="377"/>
      <c r="K2583" s="379"/>
      <c r="L2583" s="377"/>
      <c r="M2583" s="379"/>
      <c r="N2583" s="377"/>
      <c r="O2583" s="379"/>
    </row>
    <row r="2584" spans="1:15" ht="12.75" customHeight="1">
      <c r="A2584" s="342"/>
      <c r="B2584" s="342"/>
      <c r="C2584" s="1019" t="s">
        <v>2144</v>
      </c>
      <c r="D2584" s="1019"/>
      <c r="E2584" s="1019"/>
      <c r="F2584" s="1019"/>
      <c r="G2584" s="389"/>
      <c r="H2584" s="617">
        <v>14</v>
      </c>
      <c r="I2584" s="617"/>
      <c r="J2584" s="617"/>
      <c r="K2584" s="618"/>
      <c r="L2584" s="618"/>
      <c r="M2584" s="618"/>
      <c r="N2584" s="700"/>
      <c r="O2584" s="700"/>
    </row>
    <row r="2585" spans="1:15" ht="29.25" customHeight="1">
      <c r="A2585" s="377" t="str">
        <f>ORÇAMENTO!A468</f>
        <v xml:space="preserve">I-10339 </v>
      </c>
      <c r="B2585" s="377" t="str">
        <f>ORÇAMENTO!C468</f>
        <v>15.04.12</v>
      </c>
      <c r="C2585" s="1047" t="str">
        <f>ORÇAMENTO!D468</f>
        <v>MOLDE DE SOLDA EXOTÉRMICA TIPO "X" PARA CABO COBRE NU 50 MM²</v>
      </c>
      <c r="D2585" s="1047"/>
      <c r="E2585" s="1047"/>
      <c r="F2585" s="1047"/>
      <c r="G2585" s="377" t="str">
        <f>ORÇAMENTO!E468</f>
        <v xml:space="preserve">UN </v>
      </c>
      <c r="H2585" s="377">
        <f>H2586</f>
        <v>4</v>
      </c>
      <c r="I2585" s="379"/>
      <c r="J2585" s="377"/>
      <c r="K2585" s="379"/>
      <c r="L2585" s="377"/>
      <c r="M2585" s="379"/>
      <c r="N2585" s="377"/>
      <c r="O2585" s="379"/>
    </row>
    <row r="2586" spans="1:15" ht="12.75" customHeight="1">
      <c r="A2586" s="342"/>
      <c r="B2586" s="342"/>
      <c r="C2586" s="1019" t="s">
        <v>2144</v>
      </c>
      <c r="D2586" s="1019"/>
      <c r="E2586" s="1019"/>
      <c r="F2586" s="1019"/>
      <c r="G2586" s="389"/>
      <c r="H2586" s="617">
        <v>4</v>
      </c>
      <c r="I2586" s="617"/>
      <c r="J2586" s="617"/>
      <c r="K2586" s="618"/>
      <c r="L2586" s="618"/>
      <c r="M2586" s="618"/>
      <c r="N2586" s="700"/>
      <c r="O2586" s="700"/>
    </row>
    <row r="2587" spans="1:15" ht="27" customHeight="1">
      <c r="A2587" s="377" t="str">
        <f>ORÇAMENTO!A469</f>
        <v xml:space="preserve">I-11277 </v>
      </c>
      <c r="B2587" s="377" t="str">
        <f>ORÇAMENTO!C469</f>
        <v>15.04.13</v>
      </c>
      <c r="C2587" s="1047" t="str">
        <f>ORÇAMENTO!D469</f>
        <v>ALICATE DE PRESSÃO PARA SOLDA DE CHAPA 18" (460MM), REF.138 Z GEDORE</v>
      </c>
      <c r="D2587" s="1047"/>
      <c r="E2587" s="1047"/>
      <c r="F2587" s="1047"/>
      <c r="G2587" s="377" t="str">
        <f>ORÇAMENTO!E469</f>
        <v xml:space="preserve">UN </v>
      </c>
      <c r="H2587" s="377">
        <f>H2588</f>
        <v>2</v>
      </c>
      <c r="I2587" s="379"/>
      <c r="J2587" s="377"/>
      <c r="K2587" s="379"/>
      <c r="L2587" s="377"/>
      <c r="M2587" s="379"/>
      <c r="N2587" s="377"/>
      <c r="O2587" s="379"/>
    </row>
    <row r="2588" spans="1:15" ht="14.25" customHeight="1">
      <c r="A2588" s="342"/>
      <c r="B2588" s="342"/>
      <c r="C2588" s="1019" t="s">
        <v>2144</v>
      </c>
      <c r="D2588" s="1019"/>
      <c r="E2588" s="1019"/>
      <c r="F2588" s="1019"/>
      <c r="G2588" s="389"/>
      <c r="H2588" s="617">
        <v>2</v>
      </c>
      <c r="I2588" s="617"/>
      <c r="J2588" s="617"/>
      <c r="K2588" s="618"/>
      <c r="L2588" s="618"/>
      <c r="M2588" s="618"/>
      <c r="N2588" s="700"/>
      <c r="O2588" s="700"/>
    </row>
    <row r="2589" spans="1:15" ht="30" customHeight="1">
      <c r="A2589" s="377" t="str">
        <f>ORÇAMENTO!A470</f>
        <v>I-00014153</v>
      </c>
      <c r="B2589" s="377" t="str">
        <f>ORÇAMENTO!C470</f>
        <v>15.04.14</v>
      </c>
      <c r="C2589" s="1047" t="str">
        <f>ORÇAMENTO!D470</f>
        <v>FITA METALICA PERFURADA, L = *18* MM, ROLO DE 30 M, CARGA RECOMENDADA = *30* KGF</v>
      </c>
      <c r="D2589" s="1047"/>
      <c r="E2589" s="1047"/>
      <c r="F2589" s="1047"/>
      <c r="G2589" s="377" t="str">
        <f>ORÇAMENTO!E470</f>
        <v xml:space="preserve">UN </v>
      </c>
      <c r="H2589" s="377">
        <f>H2590</f>
        <v>2</v>
      </c>
      <c r="I2589" s="379"/>
      <c r="J2589" s="377"/>
      <c r="K2589" s="379"/>
      <c r="L2589" s="377"/>
      <c r="M2589" s="379"/>
      <c r="N2589" s="377"/>
      <c r="O2589" s="379"/>
    </row>
    <row r="2590" spans="1:15" ht="12.75" customHeight="1">
      <c r="A2590" s="342"/>
      <c r="B2590" s="342"/>
      <c r="C2590" s="1019" t="s">
        <v>2144</v>
      </c>
      <c r="D2590" s="1019"/>
      <c r="E2590" s="1019"/>
      <c r="F2590" s="1019"/>
      <c r="G2590" s="389"/>
      <c r="H2590" s="617">
        <v>2</v>
      </c>
      <c r="I2590" s="617"/>
      <c r="J2590" s="617"/>
      <c r="K2590" s="618"/>
      <c r="L2590" s="618"/>
      <c r="M2590" s="618"/>
      <c r="N2590" s="700"/>
      <c r="O2590" s="700"/>
    </row>
    <row r="2591" spans="1:15" ht="26.25" customHeight="1">
      <c r="A2591" s="377">
        <f>ORÇAMENTO!A471</f>
        <v>96985</v>
      </c>
      <c r="B2591" s="377" t="str">
        <f>ORÇAMENTO!C471</f>
        <v>15.04.15</v>
      </c>
      <c r="C2591" s="1047" t="str">
        <f>ORÇAMENTO!D471</f>
        <v>HASTE DE ATERRAMENTO 5/8 PARA SPDA - FORNECIMENTO E INSTALAÇÃO. AF_12/2017</v>
      </c>
      <c r="D2591" s="1047"/>
      <c r="E2591" s="1047"/>
      <c r="F2591" s="1047"/>
      <c r="G2591" s="377" t="str">
        <f>ORÇAMENTO!E471</f>
        <v xml:space="preserve">UN </v>
      </c>
      <c r="H2591" s="377">
        <f>H2592</f>
        <v>14</v>
      </c>
      <c r="I2591" s="379"/>
      <c r="J2591" s="377"/>
      <c r="K2591" s="379"/>
      <c r="L2591" s="377"/>
      <c r="M2591" s="379"/>
      <c r="N2591" s="377"/>
      <c r="O2591" s="379"/>
    </row>
    <row r="2592" spans="1:15">
      <c r="A2592" s="342"/>
      <c r="B2592" s="342"/>
      <c r="C2592" s="1002" t="s">
        <v>2147</v>
      </c>
      <c r="D2592" s="1002"/>
      <c r="E2592" s="1002"/>
      <c r="F2592" s="1002"/>
      <c r="G2592" s="389"/>
      <c r="H2592" s="617">
        <v>14</v>
      </c>
      <c r="I2592" s="617"/>
      <c r="J2592" s="617"/>
      <c r="K2592" s="618"/>
      <c r="L2592" s="618"/>
      <c r="M2592" s="618"/>
      <c r="N2592" s="700"/>
      <c r="O2592" s="700"/>
    </row>
    <row r="2593" spans="1:15" ht="33" customHeight="1">
      <c r="A2593" s="377">
        <f>ORÇAMENTO!A472</f>
        <v>9953</v>
      </c>
      <c r="B2593" s="377" t="str">
        <f>ORÇAMENTO!C472</f>
        <v>15.04.16</v>
      </c>
      <c r="C2593" s="1047" t="str">
        <f>ORÇAMENTO!D472</f>
        <v>FORNECIMENTO DE CARTUCHO PARA SOLDA EXOTÉRMICA</v>
      </c>
      <c r="D2593" s="1047"/>
      <c r="E2593" s="1047"/>
      <c r="F2593" s="1047"/>
      <c r="G2593" s="377" t="str">
        <f>ORÇAMENTO!E472</f>
        <v xml:space="preserve">UN </v>
      </c>
      <c r="H2593" s="377">
        <f>H2594</f>
        <v>18</v>
      </c>
      <c r="I2593" s="379"/>
      <c r="J2593" s="377"/>
      <c r="K2593" s="379"/>
      <c r="L2593" s="377"/>
      <c r="M2593" s="379"/>
      <c r="N2593" s="377"/>
      <c r="O2593" s="379"/>
    </row>
    <row r="2594" spans="1:15" ht="12.75" customHeight="1">
      <c r="A2594" s="342"/>
      <c r="B2594" s="342"/>
      <c r="C2594" s="1019" t="s">
        <v>2144</v>
      </c>
      <c r="D2594" s="1019"/>
      <c r="E2594" s="1019"/>
      <c r="F2594" s="1019"/>
      <c r="G2594" s="389"/>
      <c r="H2594" s="617">
        <v>18</v>
      </c>
      <c r="I2594" s="617"/>
      <c r="J2594" s="617"/>
      <c r="K2594" s="618"/>
      <c r="L2594" s="618"/>
      <c r="M2594" s="618"/>
      <c r="N2594" s="700"/>
      <c r="O2594" s="700"/>
    </row>
    <row r="2595" spans="1:15" ht="29.45" customHeight="1">
      <c r="A2595" s="377">
        <f>ORÇAMENTO!A473</f>
        <v>10427</v>
      </c>
      <c r="B2595" s="377" t="str">
        <f>ORÇAMENTO!C473</f>
        <v>15.04.17</v>
      </c>
      <c r="C2595" s="1047" t="str">
        <f>ORÇAMENTO!D473</f>
        <v>FORNECIMENTO DE CARTUCHO PARA SOLDA EXOTÉRMICA PARA CABO 95 MM²</v>
      </c>
      <c r="D2595" s="1047"/>
      <c r="E2595" s="1047"/>
      <c r="F2595" s="1047"/>
      <c r="G2595" s="377" t="str">
        <f>ORÇAMENTO!E473</f>
        <v xml:space="preserve">UN </v>
      </c>
      <c r="H2595" s="377">
        <f>H2596</f>
        <v>10</v>
      </c>
      <c r="I2595" s="379"/>
      <c r="J2595" s="377"/>
      <c r="K2595" s="379"/>
      <c r="L2595" s="377"/>
      <c r="M2595" s="379"/>
      <c r="N2595" s="377"/>
      <c r="O2595" s="379"/>
    </row>
    <row r="2596" spans="1:15" ht="12.75" customHeight="1">
      <c r="A2596" s="342"/>
      <c r="B2596" s="342"/>
      <c r="C2596" s="1019" t="s">
        <v>2144</v>
      </c>
      <c r="D2596" s="1019"/>
      <c r="E2596" s="1019"/>
      <c r="F2596" s="1019"/>
      <c r="G2596" s="389"/>
      <c r="H2596" s="617">
        <v>10</v>
      </c>
      <c r="I2596" s="617"/>
      <c r="J2596" s="617"/>
      <c r="K2596" s="618"/>
      <c r="L2596" s="618"/>
      <c r="M2596" s="618"/>
      <c r="N2596" s="700"/>
      <c r="O2596" s="700"/>
    </row>
    <row r="2597" spans="1:15" ht="32.25" customHeight="1">
      <c r="A2597" s="377">
        <f>ORÇAMENTO!A474</f>
        <v>10428</v>
      </c>
      <c r="B2597" s="377" t="str">
        <f>ORÇAMENTO!C474</f>
        <v>15.04.18</v>
      </c>
      <c r="C2597" s="1047" t="str">
        <f>ORÇAMENTO!D474</f>
        <v>FORNECIMENTO DE CARTUCHO PARA SOLDA EXOTÉRMICA PARA CABO 35 MM²</v>
      </c>
      <c r="D2597" s="1047"/>
      <c r="E2597" s="1047"/>
      <c r="F2597" s="1047"/>
      <c r="G2597" s="377" t="str">
        <f>ORÇAMENTO!E474</f>
        <v xml:space="preserve">UN </v>
      </c>
      <c r="H2597" s="377">
        <f>H2598</f>
        <v>8</v>
      </c>
      <c r="I2597" s="379"/>
      <c r="J2597" s="377"/>
      <c r="K2597" s="379"/>
      <c r="L2597" s="377"/>
      <c r="M2597" s="379"/>
      <c r="N2597" s="377"/>
      <c r="O2597" s="379"/>
    </row>
    <row r="2598" spans="1:15" ht="12.75" customHeight="1">
      <c r="A2598" s="342"/>
      <c r="B2598" s="342"/>
      <c r="C2598" s="1019" t="s">
        <v>2144</v>
      </c>
      <c r="D2598" s="1019"/>
      <c r="E2598" s="1019"/>
      <c r="F2598" s="1019"/>
      <c r="G2598" s="389"/>
      <c r="H2598" s="617">
        <v>8</v>
      </c>
      <c r="I2598" s="617"/>
      <c r="J2598" s="617"/>
      <c r="K2598" s="618"/>
      <c r="L2598" s="618"/>
      <c r="M2598" s="618"/>
      <c r="N2598" s="700"/>
      <c r="O2598" s="700"/>
    </row>
    <row r="2599" spans="1:15" ht="33" customHeight="1">
      <c r="A2599" s="377">
        <f>ORÇAMENTO!A475</f>
        <v>9392</v>
      </c>
      <c r="B2599" s="377" t="str">
        <f>ORÇAMENTO!C475</f>
        <v>15.04.19</v>
      </c>
      <c r="C2599" s="1047" t="str">
        <f>ORÇAMENTO!D475</f>
        <v>CABO DE COBRE NÚ 35 MM2 - FORNECIMENTO E ASSENTAMENTO (3,16M/KG)</v>
      </c>
      <c r="D2599" s="1047"/>
      <c r="E2599" s="1047"/>
      <c r="F2599" s="1047"/>
      <c r="G2599" s="377" t="str">
        <f>ORÇAMENTO!E475</f>
        <v>KG</v>
      </c>
      <c r="H2599" s="395">
        <f>H2600*1.2</f>
        <v>149.49113924050633</v>
      </c>
      <c r="I2599" s="379"/>
      <c r="J2599" s="377"/>
      <c r="K2599" s="379"/>
      <c r="L2599" s="377"/>
      <c r="M2599" s="379"/>
      <c r="N2599" s="377"/>
      <c r="O2599" s="379"/>
    </row>
    <row r="2600" spans="1:15">
      <c r="A2600" s="342"/>
      <c r="B2600" s="342"/>
      <c r="C2600" s="1002" t="s">
        <v>2148</v>
      </c>
      <c r="D2600" s="1002"/>
      <c r="E2600" s="1002"/>
      <c r="F2600" s="1002"/>
      <c r="G2600" s="389"/>
      <c r="H2600" s="588">
        <f>(328.05*1.2)/3.16</f>
        <v>124.57594936708861</v>
      </c>
      <c r="I2600" s="617"/>
      <c r="J2600" s="617"/>
      <c r="K2600" s="618"/>
      <c r="L2600" s="618"/>
      <c r="M2600" s="618"/>
      <c r="N2600" s="700"/>
      <c r="O2600" s="700"/>
    </row>
    <row r="2601" spans="1:15" ht="24" customHeight="1">
      <c r="A2601" s="377">
        <f>ORÇAMENTO!A476</f>
        <v>8082</v>
      </c>
      <c r="B2601" s="377" t="str">
        <f>ORÇAMENTO!C476</f>
        <v>15.04.20</v>
      </c>
      <c r="C2601" s="1047" t="str">
        <f>ORÇAMENTO!D476</f>
        <v>CABO DE COBRE NÚ 50 MM2 - FORNECIMENTO E ASSENTAMENTO (2,27M/KG)</v>
      </c>
      <c r="D2601" s="1047"/>
      <c r="E2601" s="1047"/>
      <c r="F2601" s="1047"/>
      <c r="G2601" s="377" t="str">
        <f>ORÇAMENTO!E476</f>
        <v>KG</v>
      </c>
      <c r="H2601" s="395">
        <f>SUM(H2602)</f>
        <v>147.99118942731278</v>
      </c>
      <c r="I2601" s="379"/>
      <c r="J2601" s="377"/>
      <c r="K2601" s="379"/>
      <c r="L2601" s="377"/>
      <c r="M2601" s="379"/>
      <c r="N2601" s="377"/>
      <c r="O2601" s="379"/>
    </row>
    <row r="2602" spans="1:15">
      <c r="A2602" s="342"/>
      <c r="B2602" s="342"/>
      <c r="C2602" s="1002" t="s">
        <v>2149</v>
      </c>
      <c r="D2602" s="1002"/>
      <c r="E2602" s="1002"/>
      <c r="F2602" s="1002"/>
      <c r="G2602" s="389" t="s">
        <v>170</v>
      </c>
      <c r="H2602" s="588">
        <f>(279.95*1.2)/2.27</f>
        <v>147.99118942731278</v>
      </c>
      <c r="I2602" s="617"/>
      <c r="J2602" s="617"/>
      <c r="K2602" s="618"/>
      <c r="L2602" s="618"/>
      <c r="M2602" s="618"/>
      <c r="N2602" s="700"/>
      <c r="O2602" s="700"/>
    </row>
    <row r="2603" spans="1:15" ht="25.5" customHeight="1">
      <c r="A2603" s="377">
        <f>ORÇAMENTO!A477</f>
        <v>7928</v>
      </c>
      <c r="B2603" s="377" t="str">
        <f>ORÇAMENTO!C477</f>
        <v>15.04.21</v>
      </c>
      <c r="C2603" s="1047" t="str">
        <f>ORÇAMENTO!D477</f>
        <v xml:space="preserve">TERMINAL DE COMPRESSÃO PARA CABO DE 35 MM² - FORNECIMENTO E INSTALAÇÃO </v>
      </c>
      <c r="D2603" s="1047"/>
      <c r="E2603" s="1047"/>
      <c r="F2603" s="1047"/>
      <c r="G2603" s="377" t="str">
        <f>ORÇAMENTO!E477</f>
        <v xml:space="preserve">UN </v>
      </c>
      <c r="H2603" s="377">
        <f>H2604</f>
        <v>14</v>
      </c>
      <c r="I2603" s="379"/>
      <c r="J2603" s="377"/>
      <c r="K2603" s="379"/>
      <c r="L2603" s="377"/>
      <c r="M2603" s="379"/>
      <c r="N2603" s="377"/>
      <c r="O2603" s="379"/>
    </row>
    <row r="2604" spans="1:15" ht="12.75" customHeight="1">
      <c r="A2604" s="342"/>
      <c r="B2604" s="342"/>
      <c r="C2604" s="1019" t="s">
        <v>2144</v>
      </c>
      <c r="D2604" s="1019"/>
      <c r="E2604" s="1019"/>
      <c r="F2604" s="1019"/>
      <c r="G2604" s="389"/>
      <c r="H2604" s="617">
        <v>14</v>
      </c>
      <c r="I2604" s="617"/>
      <c r="J2604" s="617"/>
      <c r="K2604" s="618"/>
      <c r="L2604" s="618"/>
      <c r="M2604" s="618"/>
      <c r="N2604" s="700"/>
      <c r="O2604" s="700"/>
    </row>
    <row r="2605" spans="1:15" ht="26.25" customHeight="1">
      <c r="A2605" s="377">
        <f>ORÇAMENTO!A478</f>
        <v>72263</v>
      </c>
      <c r="B2605" s="377" t="str">
        <f>ORÇAMENTO!C478</f>
        <v>15.04.22</v>
      </c>
      <c r="C2605" s="1047" t="str">
        <f>ORÇAMENTO!D478</f>
        <v>TERMINAL OU CONECTOR DE PRESSÃO - PARA CABO 50MM² - FORNECIMENTO E INSTALAÇÃO</v>
      </c>
      <c r="D2605" s="1047"/>
      <c r="E2605" s="1047"/>
      <c r="F2605" s="1047"/>
      <c r="G2605" s="377" t="str">
        <f>ORÇAMENTO!E478</f>
        <v xml:space="preserve">UN </v>
      </c>
      <c r="H2605" s="377">
        <f>H2606</f>
        <v>20</v>
      </c>
      <c r="I2605" s="379"/>
      <c r="J2605" s="377"/>
      <c r="K2605" s="379"/>
      <c r="L2605" s="377"/>
      <c r="M2605" s="379"/>
      <c r="N2605" s="377"/>
      <c r="O2605" s="379"/>
    </row>
    <row r="2606" spans="1:15" ht="12.75" customHeight="1">
      <c r="A2606" s="342"/>
      <c r="B2606" s="342"/>
      <c r="C2606" s="1019" t="s">
        <v>2144</v>
      </c>
      <c r="D2606" s="1019"/>
      <c r="E2606" s="1019"/>
      <c r="F2606" s="1019"/>
      <c r="G2606" s="389"/>
      <c r="H2606" s="617">
        <v>20</v>
      </c>
      <c r="I2606" s="617"/>
      <c r="J2606" s="617"/>
      <c r="K2606" s="618"/>
      <c r="L2606" s="618"/>
      <c r="M2606" s="618"/>
      <c r="N2606" s="700"/>
      <c r="O2606" s="700"/>
    </row>
    <row r="2607" spans="1:15" ht="12.75" customHeight="1">
      <c r="A2607" s="377">
        <f>ORÇAMENTO!A479</f>
        <v>10620</v>
      </c>
      <c r="B2607" s="377" t="str">
        <f>ORÇAMENTO!C479</f>
        <v>15.04.23</v>
      </c>
      <c r="C2607" s="1047" t="str">
        <f>ORÇAMENTO!D479</f>
        <v>PARAFUSO COM BUCHA S-8</v>
      </c>
      <c r="D2607" s="1047"/>
      <c r="E2607" s="1047"/>
      <c r="F2607" s="1047"/>
      <c r="G2607" s="377" t="str">
        <f>ORÇAMENTO!E479</f>
        <v xml:space="preserve">UN </v>
      </c>
      <c r="H2607" s="377">
        <f>H2608</f>
        <v>360</v>
      </c>
      <c r="I2607" s="379"/>
      <c r="J2607" s="377"/>
      <c r="K2607" s="379"/>
      <c r="L2607" s="377"/>
      <c r="M2607" s="379"/>
      <c r="N2607" s="377"/>
      <c r="O2607" s="379"/>
    </row>
    <row r="2608" spans="1:15" ht="12.75" customHeight="1">
      <c r="A2608" s="342"/>
      <c r="B2608" s="342"/>
      <c r="C2608" s="1019" t="s">
        <v>2144</v>
      </c>
      <c r="D2608" s="1019"/>
      <c r="E2608" s="1019"/>
      <c r="F2608" s="1019"/>
      <c r="G2608" s="389"/>
      <c r="H2608" s="617">
        <v>360</v>
      </c>
      <c r="I2608" s="617"/>
      <c r="J2608" s="617"/>
      <c r="K2608" s="618"/>
      <c r="L2608" s="618"/>
      <c r="M2608" s="618"/>
      <c r="N2608" s="700"/>
      <c r="O2608" s="700"/>
    </row>
    <row r="2609" spans="1:15" ht="38.25" customHeight="1">
      <c r="A2609" s="377">
        <f>ORÇAMENTO!A480</f>
        <v>11273</v>
      </c>
      <c r="B2609" s="377" t="str">
        <f>ORÇAMENTO!C480</f>
        <v>15.04.24</v>
      </c>
      <c r="C2609" s="1047" t="str">
        <f>ORÇAMENTO!D480</f>
        <v>CAIXA DE EQUIPOTENCIALIZAÇÃO EM AÇO 200X200X90MM, PARA EMBUTIR COM TAMPA, COM 9 TERMINAIS, REF:TEL-901 OU SIMILAR (SPDA)</v>
      </c>
      <c r="D2609" s="1047"/>
      <c r="E2609" s="1047"/>
      <c r="F2609" s="1047"/>
      <c r="G2609" s="377" t="str">
        <f>ORÇAMENTO!E480</f>
        <v xml:space="preserve">UN </v>
      </c>
      <c r="H2609" s="377">
        <f>H2610</f>
        <v>1</v>
      </c>
      <c r="I2609" s="379"/>
      <c r="J2609" s="377"/>
      <c r="K2609" s="379"/>
      <c r="L2609" s="377"/>
      <c r="M2609" s="379"/>
      <c r="N2609" s="377"/>
      <c r="O2609" s="379"/>
    </row>
    <row r="2610" spans="1:15" ht="12.75" customHeight="1">
      <c r="A2610" s="342"/>
      <c r="B2610" s="342"/>
      <c r="C2610" s="1019" t="s">
        <v>2144</v>
      </c>
      <c r="D2610" s="1019"/>
      <c r="E2610" s="1019"/>
      <c r="F2610" s="1019"/>
      <c r="G2610" s="389"/>
      <c r="H2610" s="617">
        <v>1</v>
      </c>
      <c r="I2610" s="617"/>
      <c r="J2610" s="617"/>
      <c r="K2610" s="618"/>
      <c r="L2610" s="618"/>
      <c r="M2610" s="618"/>
      <c r="N2610" s="700"/>
      <c r="O2610" s="700"/>
    </row>
    <row r="2611" spans="1:15" ht="36" customHeight="1">
      <c r="A2611" s="377">
        <f>ORÇAMENTO!A481</f>
        <v>93010</v>
      </c>
      <c r="B2611" s="377" t="str">
        <f>ORÇAMENTO!C481</f>
        <v>15.04.25</v>
      </c>
      <c r="C2611" s="1047" t="str">
        <f>ORÇAMENTO!D481</f>
        <v>ELETRODUTO RÍGIDO ROSCÁVEL, PVC, DN 75 MM (2 1/2"), PARA REDE ENTERRADA DE DISTRIBUIÇÃO DE ENERGIA ELÉTRICA - FORNECIMENTO E INSTALAÇÃO. AF_12/2021</v>
      </c>
      <c r="D2611" s="1047"/>
      <c r="E2611" s="1047"/>
      <c r="F2611" s="1047"/>
      <c r="G2611" s="377" t="str">
        <f>ORÇAMENTO!E481</f>
        <v>M</v>
      </c>
      <c r="H2611" s="377">
        <f>H2612</f>
        <v>335.94</v>
      </c>
      <c r="I2611" s="379"/>
      <c r="J2611" s="377"/>
      <c r="K2611" s="379"/>
      <c r="L2611" s="377"/>
      <c r="M2611" s="379"/>
      <c r="N2611" s="377"/>
      <c r="O2611" s="379"/>
    </row>
    <row r="2612" spans="1:15" ht="12.75" customHeight="1">
      <c r="A2612" s="342"/>
      <c r="B2612" s="342"/>
      <c r="C2612" s="1019" t="s">
        <v>2144</v>
      </c>
      <c r="D2612" s="1019"/>
      <c r="E2612" s="1019"/>
      <c r="F2612" s="1019"/>
      <c r="G2612" s="389"/>
      <c r="H2612" s="617">
        <f>279.95*1.2</f>
        <v>335.94</v>
      </c>
      <c r="I2612" s="617"/>
      <c r="J2612" s="617"/>
      <c r="K2612" s="618"/>
      <c r="L2612" s="618"/>
      <c r="M2612" s="618"/>
      <c r="N2612" s="700"/>
      <c r="O2612" s="700"/>
    </row>
    <row r="2613" spans="1:15" ht="25.5" customHeight="1">
      <c r="A2613" s="377">
        <f>ORÇAMENTO!A482</f>
        <v>10728</v>
      </c>
      <c r="B2613" s="377" t="str">
        <f>ORÇAMENTO!C482</f>
        <v>15.04.26</v>
      </c>
      <c r="C2613" s="1047" t="str">
        <f>ORÇAMENTO!D482</f>
        <v>CAIXA INSPEÇÃO EM POLIAMIDA 150X110X70MM, BOCAL 1" (DN 32MM), REF: TEL-541 (SPDA)</v>
      </c>
      <c r="D2613" s="1047"/>
      <c r="E2613" s="1047"/>
      <c r="F2613" s="1047"/>
      <c r="G2613" s="377" t="str">
        <f>ORÇAMENTO!E482</f>
        <v xml:space="preserve">UN </v>
      </c>
      <c r="H2613" s="377">
        <f>H2614</f>
        <v>30</v>
      </c>
      <c r="I2613" s="379"/>
      <c r="J2613" s="377"/>
      <c r="K2613" s="379"/>
      <c r="L2613" s="377"/>
      <c r="M2613" s="379"/>
      <c r="N2613" s="377"/>
      <c r="O2613" s="379"/>
    </row>
    <row r="2614" spans="1:15" ht="12.75" customHeight="1">
      <c r="A2614" s="342"/>
      <c r="B2614" s="342"/>
      <c r="C2614" s="1019" t="s">
        <v>948</v>
      </c>
      <c r="D2614" s="1019"/>
      <c r="E2614" s="1019"/>
      <c r="F2614" s="1019"/>
      <c r="G2614" s="389"/>
      <c r="H2614" s="617">
        <v>30</v>
      </c>
      <c r="I2614" s="617"/>
      <c r="J2614" s="617"/>
      <c r="K2614" s="618"/>
      <c r="L2614" s="618"/>
      <c r="M2614" s="618"/>
      <c r="N2614" s="700"/>
      <c r="O2614" s="700"/>
    </row>
    <row r="2615" spans="1:15" ht="24.75" customHeight="1">
      <c r="A2615" s="377">
        <f>ORÇAMENTO!A483</f>
        <v>98111</v>
      </c>
      <c r="B2615" s="377" t="str">
        <f>ORÇAMENTO!C483</f>
        <v>15.04.27</v>
      </c>
      <c r="C2615" s="1047" t="str">
        <f>ORÇAMENTO!D483</f>
        <v>CAIXA DE INSPEÇÃO PARA ATERRAMENTO, CIRCULAR, EM POLIETILENO, DIÂMETRO INTERNO = 0,3 M. AF_05/2018</v>
      </c>
      <c r="D2615" s="1047"/>
      <c r="E2615" s="1047"/>
      <c r="F2615" s="1047"/>
      <c r="G2615" s="377" t="str">
        <f>ORÇAMENTO!E483</f>
        <v xml:space="preserve">UN </v>
      </c>
      <c r="H2615" s="377">
        <f>H2616</f>
        <v>14</v>
      </c>
      <c r="I2615" s="379"/>
      <c r="J2615" s="377"/>
      <c r="K2615" s="379"/>
      <c r="L2615" s="377"/>
      <c r="M2615" s="379"/>
      <c r="N2615" s="377"/>
      <c r="O2615" s="379"/>
    </row>
    <row r="2616" spans="1:15">
      <c r="A2616" s="342"/>
      <c r="B2616" s="342"/>
      <c r="C2616" s="1002" t="s">
        <v>948</v>
      </c>
      <c r="D2616" s="1002"/>
      <c r="E2616" s="1002"/>
      <c r="F2616" s="1002"/>
      <c r="G2616" s="389"/>
      <c r="H2616" s="617">
        <v>14</v>
      </c>
      <c r="I2616" s="617"/>
      <c r="J2616" s="617"/>
      <c r="K2616" s="618"/>
      <c r="L2616" s="618"/>
      <c r="M2616" s="618"/>
      <c r="N2616" s="700"/>
      <c r="O2616" s="700"/>
    </row>
    <row r="2617" spans="1:15" ht="12.75" customHeight="1">
      <c r="A2617" s="373" t="s">
        <v>11</v>
      </c>
      <c r="B2617" s="375" t="s">
        <v>13</v>
      </c>
      <c r="C2617" s="1007" t="s">
        <v>1443</v>
      </c>
      <c r="D2617" s="1007"/>
      <c r="E2617" s="1007"/>
      <c r="F2617" s="1007"/>
      <c r="G2617" s="375" t="s">
        <v>15</v>
      </c>
      <c r="H2617" s="375" t="s">
        <v>1444</v>
      </c>
      <c r="I2617" s="375" t="s">
        <v>1445</v>
      </c>
      <c r="J2617" s="375" t="s">
        <v>1446</v>
      </c>
      <c r="K2617" s="375" t="s">
        <v>1447</v>
      </c>
      <c r="L2617" s="375" t="s">
        <v>1448</v>
      </c>
      <c r="M2617" s="375" t="s">
        <v>1457</v>
      </c>
      <c r="N2617" s="375" t="s">
        <v>1450</v>
      </c>
      <c r="O2617" s="375" t="s">
        <v>1451</v>
      </c>
    </row>
    <row r="2618" spans="1:15" ht="18.75" customHeight="1">
      <c r="A2618" s="376"/>
      <c r="B2618" s="376" t="str">
        <f>ORÇAMENTO!C484</f>
        <v>15.05</v>
      </c>
      <c r="C2618" s="1075" t="str">
        <f>ORÇAMENTO!D484</f>
        <v>ELÉTRICO ÁREA INTERNA</v>
      </c>
      <c r="D2618" s="1075"/>
      <c r="E2618" s="1075"/>
      <c r="F2618" s="1075"/>
      <c r="G2618" s="1072"/>
      <c r="H2618" s="1072"/>
      <c r="I2618" s="1072"/>
      <c r="J2618" s="1072"/>
      <c r="K2618" s="1072"/>
      <c r="L2618" s="1072"/>
      <c r="M2618" s="1072"/>
      <c r="N2618" s="1072"/>
      <c r="O2618" s="1072"/>
    </row>
    <row r="2619" spans="1:15" ht="44.25" customHeight="1">
      <c r="A2619" s="377">
        <f>ORÇAMENTO!A485</f>
        <v>92004</v>
      </c>
      <c r="B2619" s="377" t="str">
        <f>ORÇAMENTO!C485</f>
        <v>15.05.01</v>
      </c>
      <c r="C2619" s="1071" t="str">
        <f>ORÇAMENTO!D485</f>
        <v>TOMADA MÉDIA DE EMBUTIR (2 MÓDULOS), 2P+T 10 A, INCLUINDO SUPORTE E PLACA - FORNECIMENTO E INSTALAÇÃO. AF_12/2015 - LINHA PIAL PLUS OU SIMILAR</v>
      </c>
      <c r="D2619" s="1071"/>
      <c r="E2619" s="1071"/>
      <c r="F2619" s="1071"/>
      <c r="G2619" s="377" t="str">
        <f>ORÇAMENTO!E485</f>
        <v xml:space="preserve">UN </v>
      </c>
      <c r="H2619" s="383">
        <f>H2620</f>
        <v>110</v>
      </c>
      <c r="I2619" s="379"/>
      <c r="J2619" s="380"/>
      <c r="K2619" s="379"/>
      <c r="L2619" s="380"/>
      <c r="M2619" s="379"/>
      <c r="N2619" s="380"/>
      <c r="O2619" s="379"/>
    </row>
    <row r="2620" spans="1:15" s="122" customFormat="1" ht="12.75" customHeight="1">
      <c r="A2620" s="337"/>
      <c r="B2620" s="337"/>
      <c r="C2620" s="1062" t="s">
        <v>2150</v>
      </c>
      <c r="D2620" s="1062"/>
      <c r="E2620" s="1062"/>
      <c r="F2620" s="1062"/>
      <c r="G2620" s="389" t="s">
        <v>55</v>
      </c>
      <c r="H2620" s="584">
        <v>110</v>
      </c>
      <c r="I2620" s="582"/>
      <c r="J2620" s="582"/>
      <c r="K2620" s="583"/>
      <c r="L2620" s="583"/>
      <c r="M2620" s="583"/>
      <c r="N2620" s="589"/>
      <c r="O2620" s="589"/>
    </row>
    <row r="2621" spans="1:15" ht="39.75" customHeight="1">
      <c r="A2621" s="377">
        <f>ORÇAMENTO!A486</f>
        <v>91997</v>
      </c>
      <c r="B2621" s="377" t="str">
        <f>ORÇAMENTO!C486</f>
        <v>15.05.02</v>
      </c>
      <c r="C2621" s="1003" t="str">
        <f>ORÇAMENTO!D486</f>
        <v>TOMADA MÉDIA DE EMBUTIR (1 MÓDULO), 2P+T 20 A, INCLUINDO SUPORTE E PLACA - FORNECIMENTO E INSTALAÇÃO. AF_12/2015 - LINHA PIAL PLUS OU SIMILAR</v>
      </c>
      <c r="D2621" s="1003"/>
      <c r="E2621" s="1003"/>
      <c r="F2621" s="1003"/>
      <c r="G2621" s="377" t="str">
        <f>ORÇAMENTO!E486</f>
        <v xml:space="preserve">UN </v>
      </c>
      <c r="H2621" s="383">
        <f>H2622</f>
        <v>6</v>
      </c>
      <c r="I2621" s="379"/>
      <c r="J2621" s="380"/>
      <c r="K2621" s="379"/>
      <c r="L2621" s="380"/>
      <c r="M2621" s="379"/>
      <c r="N2621" s="380"/>
      <c r="O2621" s="379"/>
    </row>
    <row r="2622" spans="1:15" s="122" customFormat="1" ht="12.75" customHeight="1">
      <c r="A2622" s="337"/>
      <c r="B2622" s="337"/>
      <c r="C2622" s="1062" t="s">
        <v>2151</v>
      </c>
      <c r="D2622" s="1062"/>
      <c r="E2622" s="1062"/>
      <c r="F2622" s="1062"/>
      <c r="G2622" s="389" t="s">
        <v>55</v>
      </c>
      <c r="H2622" s="584">
        <v>6</v>
      </c>
      <c r="I2622" s="582"/>
      <c r="J2622" s="582"/>
      <c r="K2622" s="583"/>
      <c r="L2622" s="583"/>
      <c r="M2622" s="583"/>
      <c r="N2622" s="589"/>
      <c r="O2622" s="589"/>
    </row>
    <row r="2623" spans="1:15" ht="36.75" customHeight="1">
      <c r="A2623" s="377">
        <f>ORÇAMENTO!A487</f>
        <v>91996</v>
      </c>
      <c r="B2623" s="377" t="str">
        <f>ORÇAMENTO!C487</f>
        <v>15.05.03</v>
      </c>
      <c r="C2623" s="1047" t="str">
        <f>ORÇAMENTO!D487</f>
        <v>TOMADA MÉDIA DE EMBUTIR (1 MÓDULO), 2P+T 10 A, INCLUINDO SUPORTE E PLACA - FORNECIMENTO E INSTALAÇÃO. AF_12/2015  - LINHA PIAL PLUS OU SIMILAR</v>
      </c>
      <c r="D2623" s="1047"/>
      <c r="E2623" s="1047"/>
      <c r="F2623" s="1047"/>
      <c r="G2623" s="377" t="str">
        <f>ORÇAMENTO!E487</f>
        <v xml:space="preserve">UN </v>
      </c>
      <c r="H2623" s="383">
        <f>H2624</f>
        <v>50</v>
      </c>
      <c r="I2623" s="379"/>
      <c r="J2623" s="380"/>
      <c r="K2623" s="379"/>
      <c r="L2623" s="380"/>
      <c r="M2623" s="379"/>
      <c r="N2623" s="380"/>
      <c r="O2623" s="379"/>
    </row>
    <row r="2624" spans="1:15" s="122" customFormat="1" ht="12.75" customHeight="1">
      <c r="A2624" s="337"/>
      <c r="B2624" s="337"/>
      <c r="C2624" s="1062" t="s">
        <v>2152</v>
      </c>
      <c r="D2624" s="1062"/>
      <c r="E2624" s="1062"/>
      <c r="F2624" s="1062"/>
      <c r="G2624" s="389" t="s">
        <v>55</v>
      </c>
      <c r="H2624" s="584">
        <v>50</v>
      </c>
      <c r="I2624" s="582"/>
      <c r="J2624" s="582"/>
      <c r="K2624" s="583"/>
      <c r="L2624" s="583"/>
      <c r="M2624" s="583"/>
      <c r="N2624" s="589"/>
      <c r="O2624" s="589"/>
    </row>
    <row r="2625" spans="1:15" s="122" customFormat="1" ht="39" customHeight="1">
      <c r="A2625" s="377">
        <f>ORÇAMENTO!A488</f>
        <v>91922</v>
      </c>
      <c r="B2625" s="377" t="str">
        <f>ORÇAMENTO!C488</f>
        <v>15.05.04</v>
      </c>
      <c r="C2625" s="1047" t="str">
        <f>ORÇAMENTO!D488</f>
        <v>TOMADA ALTA DE EMBUTIR (1 MÓDULO), 2P+T 10 A, INCLUINDO SUPORTE E PLACA - FORNECIMENTO E INSTALAÇÃO. AF_03/2023 - LINHA PIAL PLUS OU SIMILAR - PARA LUMINÁRIA DE EMERGÊNCIA</v>
      </c>
      <c r="D2625" s="1047"/>
      <c r="E2625" s="1047"/>
      <c r="F2625" s="1047"/>
      <c r="G2625" s="377" t="str">
        <f>ORÇAMENTO!E488</f>
        <v xml:space="preserve">UN </v>
      </c>
      <c r="H2625" s="383">
        <f>H2626</f>
        <v>12</v>
      </c>
      <c r="I2625" s="379"/>
      <c r="J2625" s="380"/>
      <c r="K2625" s="379"/>
      <c r="L2625" s="380"/>
      <c r="M2625" s="379"/>
      <c r="N2625" s="380"/>
      <c r="O2625" s="379"/>
    </row>
    <row r="2626" spans="1:15" s="122" customFormat="1" ht="12.75" customHeight="1">
      <c r="A2626" s="337"/>
      <c r="B2626" s="337"/>
      <c r="C2626" s="1062" t="s">
        <v>2153</v>
      </c>
      <c r="D2626" s="1062"/>
      <c r="E2626" s="1062"/>
      <c r="F2626" s="1062"/>
      <c r="G2626" s="389" t="s">
        <v>55</v>
      </c>
      <c r="H2626" s="584">
        <v>12</v>
      </c>
      <c r="I2626" s="582"/>
      <c r="J2626" s="582"/>
      <c r="K2626" s="583"/>
      <c r="L2626" s="583"/>
      <c r="M2626" s="583"/>
      <c r="N2626" s="589"/>
      <c r="O2626" s="589"/>
    </row>
    <row r="2627" spans="1:15" s="122" customFormat="1" ht="37.5" customHeight="1">
      <c r="A2627" s="377">
        <f>ORÇAMENTO!A489</f>
        <v>91961</v>
      </c>
      <c r="B2627" s="377" t="str">
        <f>ORÇAMENTO!C489</f>
        <v>15.05.05</v>
      </c>
      <c r="C2627" s="1047" t="str">
        <f>ORÇAMENTO!D489</f>
        <v>INTERRUPTOR PARALELO (2 MÓDULOS), 10A/250V, INCLUINDO SUPORTE E PLACA - FORNECIMENTO E INSTALAÇÃO. AF_03/2023 - LINHA PIAL PLUS OU SIMILAR</v>
      </c>
      <c r="D2627" s="1047"/>
      <c r="E2627" s="1047"/>
      <c r="F2627" s="1047"/>
      <c r="G2627" s="377" t="str">
        <f>ORÇAMENTO!E489</f>
        <v xml:space="preserve">UN </v>
      </c>
      <c r="H2627" s="383">
        <f>H2628</f>
        <v>14</v>
      </c>
      <c r="I2627" s="379"/>
      <c r="J2627" s="380"/>
      <c r="K2627" s="379"/>
      <c r="L2627" s="380"/>
      <c r="M2627" s="379"/>
      <c r="N2627" s="380"/>
      <c r="O2627" s="379"/>
    </row>
    <row r="2628" spans="1:15" s="122" customFormat="1" ht="12.75" customHeight="1">
      <c r="A2628" s="337"/>
      <c r="B2628" s="337"/>
      <c r="C2628" s="1062" t="s">
        <v>2117</v>
      </c>
      <c r="D2628" s="1062"/>
      <c r="E2628" s="1062"/>
      <c r="F2628" s="1062"/>
      <c r="G2628" s="389" t="s">
        <v>55</v>
      </c>
      <c r="H2628" s="584">
        <v>14</v>
      </c>
      <c r="I2628" s="582"/>
      <c r="J2628" s="582"/>
      <c r="K2628" s="583"/>
      <c r="L2628" s="583"/>
      <c r="M2628" s="583"/>
      <c r="N2628" s="589"/>
      <c r="O2628" s="589"/>
    </row>
    <row r="2629" spans="1:15" s="122" customFormat="1" ht="38.25" customHeight="1">
      <c r="A2629" s="377">
        <f>ORÇAMENTO!A490</f>
        <v>92023</v>
      </c>
      <c r="B2629" s="377" t="str">
        <f>ORÇAMENTO!C490</f>
        <v>15.05.06</v>
      </c>
      <c r="C2629" s="1047" t="str">
        <f>ORÇAMENTO!D490</f>
        <v>INTERRUPTOR SIMPLES (1 MÓDULO) COM 1 TOMADA DE EMBUTIR 2P+T 10 A, INCLUINDO SUPORTE E PLACA - FORNECIMENTO E INSTALAÇÃO. AF_03/2023 - LINHA PIAL PLUS OU SIMILAR</v>
      </c>
      <c r="D2629" s="1047"/>
      <c r="E2629" s="1047"/>
      <c r="F2629" s="1047"/>
      <c r="G2629" s="377" t="str">
        <f>ORÇAMENTO!E490</f>
        <v xml:space="preserve">UN </v>
      </c>
      <c r="H2629" s="383">
        <f>H2630</f>
        <v>20</v>
      </c>
      <c r="I2629" s="379"/>
      <c r="J2629" s="380"/>
      <c r="K2629" s="379"/>
      <c r="L2629" s="380"/>
      <c r="M2629" s="379"/>
      <c r="N2629" s="380"/>
      <c r="O2629" s="379"/>
    </row>
    <row r="2630" spans="1:15" s="122" customFormat="1" ht="12.75" customHeight="1">
      <c r="A2630" s="337"/>
      <c r="B2630" s="337"/>
      <c r="C2630" s="1062" t="s">
        <v>2117</v>
      </c>
      <c r="D2630" s="1062"/>
      <c r="E2630" s="1062"/>
      <c r="F2630" s="1062"/>
      <c r="G2630" s="389" t="s">
        <v>55</v>
      </c>
      <c r="H2630" s="584">
        <v>20</v>
      </c>
      <c r="I2630" s="582"/>
      <c r="J2630" s="582"/>
      <c r="K2630" s="583"/>
      <c r="L2630" s="583"/>
      <c r="M2630" s="583"/>
      <c r="N2630" s="589"/>
      <c r="O2630" s="589"/>
    </row>
    <row r="2631" spans="1:15" s="122" customFormat="1" ht="37.5" customHeight="1">
      <c r="A2631" s="377">
        <f>ORÇAMENTO!A491</f>
        <v>91959</v>
      </c>
      <c r="B2631" s="377" t="str">
        <f>ORÇAMENTO!C491</f>
        <v>15.05.07</v>
      </c>
      <c r="C2631" s="1047" t="str">
        <f>ORÇAMENTO!D491</f>
        <v>INTERRUPTOR SIMPLES (2 MÓDULOS), 10A/250V, INCLUINDO SUPORTE E PLACA - FORNECIMENTO E INSTALAÇÃO. AF_03/2023 - LINHA PIAL PLUS OU SIMILAR</v>
      </c>
      <c r="D2631" s="1047"/>
      <c r="E2631" s="1047"/>
      <c r="F2631" s="1047"/>
      <c r="G2631" s="377" t="str">
        <f>ORÇAMENTO!E491</f>
        <v xml:space="preserve">UN </v>
      </c>
      <c r="H2631" s="383">
        <f>H2632</f>
        <v>18</v>
      </c>
      <c r="I2631" s="379"/>
      <c r="J2631" s="380"/>
      <c r="K2631" s="379"/>
      <c r="L2631" s="380"/>
      <c r="M2631" s="379"/>
      <c r="N2631" s="380"/>
      <c r="O2631" s="379"/>
    </row>
    <row r="2632" spans="1:15" s="122" customFormat="1" ht="12.75" customHeight="1">
      <c r="A2632" s="337"/>
      <c r="B2632" s="337"/>
      <c r="C2632" s="1062" t="s">
        <v>2117</v>
      </c>
      <c r="D2632" s="1062"/>
      <c r="E2632" s="1062"/>
      <c r="F2632" s="1062"/>
      <c r="G2632" s="389" t="s">
        <v>55</v>
      </c>
      <c r="H2632" s="584">
        <v>18</v>
      </c>
      <c r="I2632" s="582"/>
      <c r="J2632" s="582"/>
      <c r="K2632" s="583"/>
      <c r="L2632" s="583"/>
      <c r="M2632" s="583"/>
      <c r="N2632" s="589"/>
      <c r="O2632" s="589"/>
    </row>
    <row r="2633" spans="1:15" s="122" customFormat="1" ht="38.25" customHeight="1">
      <c r="A2633" s="377">
        <f>ORÇAMENTO!A492</f>
        <v>91967</v>
      </c>
      <c r="B2633" s="377" t="str">
        <f>ORÇAMENTO!C492</f>
        <v>15.05.08</v>
      </c>
      <c r="C2633" s="1047" t="str">
        <f>ORÇAMENTO!D492</f>
        <v>INTERRUPTOR SIMPLES (3 MÓDULOS), 10A/250V, INCLUINDO SUPORTE E PLACA - FORNECIMENTO E INSTALAÇÃO. AF_03/2023 - LINHA PIAL PLUS OU SIMILAR</v>
      </c>
      <c r="D2633" s="1047"/>
      <c r="E2633" s="1047"/>
      <c r="F2633" s="1047"/>
      <c r="G2633" s="377" t="str">
        <f>ORÇAMENTO!E492</f>
        <v xml:space="preserve">UN </v>
      </c>
      <c r="H2633" s="383">
        <f>H2634</f>
        <v>6</v>
      </c>
      <c r="I2633" s="379"/>
      <c r="J2633" s="380"/>
      <c r="K2633" s="379"/>
      <c r="L2633" s="380"/>
      <c r="M2633" s="379"/>
      <c r="N2633" s="380"/>
      <c r="O2633" s="379"/>
    </row>
    <row r="2634" spans="1:15" s="122" customFormat="1" ht="12.75" customHeight="1">
      <c r="A2634" s="337"/>
      <c r="B2634" s="337"/>
      <c r="C2634" s="1062" t="s">
        <v>2117</v>
      </c>
      <c r="D2634" s="1062"/>
      <c r="E2634" s="1062"/>
      <c r="F2634" s="1062"/>
      <c r="G2634" s="389" t="s">
        <v>55</v>
      </c>
      <c r="H2634" s="584">
        <v>6</v>
      </c>
      <c r="I2634" s="582"/>
      <c r="J2634" s="582"/>
      <c r="K2634" s="583"/>
      <c r="L2634" s="583"/>
      <c r="M2634" s="583"/>
      <c r="N2634" s="589"/>
      <c r="O2634" s="589"/>
    </row>
    <row r="2635" spans="1:15" s="122" customFormat="1" ht="38.25" customHeight="1">
      <c r="A2635" s="377">
        <f>ORÇAMENTO!A493</f>
        <v>92023</v>
      </c>
      <c r="B2635" s="377" t="str">
        <f>ORÇAMENTO!C493</f>
        <v>15.05.09</v>
      </c>
      <c r="C2635" s="1047" t="str">
        <f>ORÇAMENTO!D493</f>
        <v>INTERRUPTOR SIMPLES (1 MÓDULO) COM 1 TOMADA DE EMBUTIR 2P+T 10 A, INCLUINDO SUPORTE E PLACA - FORNECIMENTO E INSTALAÇÃO. AF_03/2023 - LINHA PIAL PLUS OU SIMILAR</v>
      </c>
      <c r="D2635" s="1047"/>
      <c r="E2635" s="1047"/>
      <c r="F2635" s="1047"/>
      <c r="G2635" s="377" t="str">
        <f>ORÇAMENTO!E493</f>
        <v xml:space="preserve">UN </v>
      </c>
      <c r="H2635" s="383">
        <f>H2636</f>
        <v>6</v>
      </c>
      <c r="I2635" s="379"/>
      <c r="J2635" s="380"/>
      <c r="K2635" s="379"/>
      <c r="L2635" s="380"/>
      <c r="M2635" s="379"/>
      <c r="N2635" s="380"/>
      <c r="O2635" s="379"/>
    </row>
    <row r="2636" spans="1:15" s="122" customFormat="1" ht="12.75" customHeight="1">
      <c r="A2636" s="337"/>
      <c r="B2636" s="337"/>
      <c r="C2636" s="1062" t="s">
        <v>2117</v>
      </c>
      <c r="D2636" s="1062"/>
      <c r="E2636" s="1062"/>
      <c r="F2636" s="1062"/>
      <c r="G2636" s="389" t="s">
        <v>55</v>
      </c>
      <c r="H2636" s="584">
        <v>6</v>
      </c>
      <c r="I2636" s="582"/>
      <c r="J2636" s="582"/>
      <c r="K2636" s="583"/>
      <c r="L2636" s="583"/>
      <c r="M2636" s="583"/>
      <c r="N2636" s="589"/>
      <c r="O2636" s="589"/>
    </row>
    <row r="2637" spans="1:15" s="122" customFormat="1" ht="38.25" customHeight="1">
      <c r="A2637" s="377" t="str">
        <f>ORÇAMENTO!A494</f>
        <v>COMP/ELE - 27</v>
      </c>
      <c r="B2637" s="377" t="str">
        <f>ORÇAMENTO!C494</f>
        <v>15.05.10</v>
      </c>
      <c r="C2637" s="1047" t="str">
        <f>ORÇAMENTO!D494</f>
        <v>FORNECIMENTO E INSTALAÇÃO DE CONJUNTO 2 TOMADAS 10A PRETA DE PISO 4X4 – LATÃO – TPL019 - COM CAIXA DE ALUMÍNIO 4X4 PARA PISO</v>
      </c>
      <c r="D2637" s="1047"/>
      <c r="E2637" s="1047"/>
      <c r="F2637" s="1047"/>
      <c r="G2637" s="377" t="str">
        <f>ORÇAMENTO!E494</f>
        <v xml:space="preserve">UN </v>
      </c>
      <c r="H2637" s="383">
        <f>H2638</f>
        <v>12</v>
      </c>
      <c r="I2637" s="379"/>
      <c r="J2637" s="380"/>
      <c r="K2637" s="379"/>
      <c r="L2637" s="380"/>
      <c r="M2637" s="379"/>
      <c r="N2637" s="380"/>
      <c r="O2637" s="379"/>
    </row>
    <row r="2638" spans="1:15" s="122" customFormat="1" ht="12.75" customHeight="1">
      <c r="A2638" s="337"/>
      <c r="B2638" s="337"/>
      <c r="C2638" s="1062" t="s">
        <v>2117</v>
      </c>
      <c r="D2638" s="1062"/>
      <c r="E2638" s="1062"/>
      <c r="F2638" s="1062"/>
      <c r="G2638" s="389" t="s">
        <v>55</v>
      </c>
      <c r="H2638" s="584">
        <v>12</v>
      </c>
      <c r="I2638" s="582"/>
      <c r="J2638" s="582"/>
      <c r="K2638" s="583"/>
      <c r="L2638" s="583"/>
      <c r="M2638" s="583"/>
      <c r="N2638" s="589"/>
      <c r="O2638" s="589"/>
    </row>
    <row r="2639" spans="1:15" s="122" customFormat="1" ht="12.75" customHeight="1">
      <c r="A2639" s="337"/>
      <c r="B2639" s="337"/>
      <c r="C2639" s="473"/>
      <c r="D2639" s="125"/>
      <c r="E2639" s="125"/>
      <c r="F2639" s="126"/>
      <c r="G2639" s="389"/>
      <c r="H2639" s="584"/>
      <c r="I2639" s="582"/>
      <c r="J2639" s="582"/>
      <c r="K2639" s="583"/>
      <c r="L2639" s="583"/>
      <c r="M2639" s="583"/>
      <c r="N2639" s="589"/>
      <c r="O2639" s="589"/>
    </row>
    <row r="2640" spans="1:15" ht="27" customHeight="1">
      <c r="A2640" s="377">
        <f>ORÇAMENTO!A495</f>
        <v>711</v>
      </c>
      <c r="B2640" s="377" t="str">
        <f>ORÇAMENTO!C495</f>
        <v>15.05.11</v>
      </c>
      <c r="C2640" s="1071" t="str">
        <f>ORÇAMENTO!D495</f>
        <v>FORNECIMENTO E INSTALAÇÃO DE TAMPA CEGA (ESPELHO LISO) PARA CAIXA 4" X 2"</v>
      </c>
      <c r="D2640" s="1076"/>
      <c r="E2640" s="1076"/>
      <c r="F2640" s="1077"/>
      <c r="G2640" s="377" t="str">
        <f>ORÇAMENTO!E495</f>
        <v xml:space="preserve">UN </v>
      </c>
      <c r="H2640" s="383">
        <f>H2641</f>
        <v>10</v>
      </c>
      <c r="I2640" s="379"/>
      <c r="J2640" s="380"/>
      <c r="K2640" s="379"/>
      <c r="L2640" s="380"/>
      <c r="M2640" s="379"/>
      <c r="N2640" s="380"/>
      <c r="O2640" s="379"/>
    </row>
    <row r="2641" spans="1:15" s="122" customFormat="1" ht="12.75" customHeight="1">
      <c r="A2641" s="337"/>
      <c r="B2641" s="337"/>
      <c r="C2641" s="1015" t="s">
        <v>2117</v>
      </c>
      <c r="D2641" s="1015"/>
      <c r="E2641" s="1015"/>
      <c r="F2641" s="1015"/>
      <c r="G2641" s="389" t="s">
        <v>55</v>
      </c>
      <c r="H2641" s="584">
        <v>10</v>
      </c>
      <c r="I2641" s="582"/>
      <c r="J2641" s="582"/>
      <c r="K2641" s="583"/>
      <c r="L2641" s="583"/>
      <c r="M2641" s="583"/>
      <c r="N2641" s="589"/>
      <c r="O2641" s="589"/>
    </row>
    <row r="2642" spans="1:15" ht="30" customHeight="1">
      <c r="A2642" s="377">
        <f>ORÇAMENTO!A496</f>
        <v>743</v>
      </c>
      <c r="B2642" s="377" t="str">
        <f>ORÇAMENTO!C496</f>
        <v>15.05.12</v>
      </c>
      <c r="C2642" s="1021" t="str">
        <f>ORÇAMENTO!D496</f>
        <v>CAIXA DE PASSAGEM PVC, 4" X 4" CM, EMBUTIR, P/ELETRODUTO</v>
      </c>
      <c r="D2642" s="1022"/>
      <c r="E2642" s="1022"/>
      <c r="F2642" s="1023"/>
      <c r="G2642" s="377" t="str">
        <f>ORÇAMENTO!E496</f>
        <v xml:space="preserve">UN </v>
      </c>
      <c r="H2642" s="383">
        <f>H2643</f>
        <v>20</v>
      </c>
      <c r="I2642" s="379"/>
      <c r="J2642" s="380"/>
      <c r="K2642" s="379"/>
      <c r="L2642" s="380"/>
      <c r="M2642" s="379"/>
      <c r="N2642" s="380"/>
      <c r="O2642" s="379"/>
    </row>
    <row r="2643" spans="1:15" s="122" customFormat="1" ht="12.75" customHeight="1">
      <c r="A2643" s="337"/>
      <c r="B2643" s="337"/>
      <c r="C2643" s="1015" t="s">
        <v>2117</v>
      </c>
      <c r="D2643" s="1015"/>
      <c r="E2643" s="1015"/>
      <c r="F2643" s="1015"/>
      <c r="G2643" s="389" t="s">
        <v>55</v>
      </c>
      <c r="H2643" s="584">
        <v>20</v>
      </c>
      <c r="I2643" s="582"/>
      <c r="J2643" s="582"/>
      <c r="K2643" s="583"/>
      <c r="L2643" s="583"/>
      <c r="M2643" s="583"/>
      <c r="N2643" s="589"/>
      <c r="O2643" s="589"/>
    </row>
    <row r="2644" spans="1:15" ht="38.25" customHeight="1">
      <c r="A2644" s="377">
        <f>ORÇAMENTO!A497</f>
        <v>91936</v>
      </c>
      <c r="B2644" s="377" t="str">
        <f>ORÇAMENTO!C497</f>
        <v>15.05.13</v>
      </c>
      <c r="C2644" s="1071" t="str">
        <f>ORÇAMENTO!D497</f>
        <v>CAIXA OCTOGONAL 4" X 4", PVC, INSTALADA EM LAJE - FORNECIMENTO E INSTALAÇÃO. AF_12/2015</v>
      </c>
      <c r="D2644" s="1071"/>
      <c r="E2644" s="1071"/>
      <c r="F2644" s="1071"/>
      <c r="G2644" s="377" t="str">
        <f>ORÇAMENTO!E497</f>
        <v xml:space="preserve">UN </v>
      </c>
      <c r="H2644" s="383">
        <f>H2645</f>
        <v>30</v>
      </c>
      <c r="I2644" s="379"/>
      <c r="J2644" s="380"/>
      <c r="K2644" s="379"/>
      <c r="L2644" s="380"/>
      <c r="M2644" s="379"/>
      <c r="N2644" s="380"/>
      <c r="O2644" s="379"/>
    </row>
    <row r="2645" spans="1:15" s="122" customFormat="1" ht="12.75" customHeight="1">
      <c r="A2645" s="337"/>
      <c r="B2645" s="337"/>
      <c r="C2645" s="1015" t="s">
        <v>2117</v>
      </c>
      <c r="D2645" s="1015"/>
      <c r="E2645" s="1015"/>
      <c r="F2645" s="1015"/>
      <c r="G2645" s="389" t="s">
        <v>55</v>
      </c>
      <c r="H2645" s="584">
        <v>30</v>
      </c>
      <c r="I2645" s="582"/>
      <c r="J2645" s="582"/>
      <c r="K2645" s="583"/>
      <c r="L2645" s="583"/>
      <c r="M2645" s="583"/>
      <c r="N2645" s="589"/>
      <c r="O2645" s="589"/>
    </row>
    <row r="2646" spans="1:15" ht="36.75" customHeight="1">
      <c r="A2646" s="377">
        <f>ORÇAMENTO!A498</f>
        <v>101875</v>
      </c>
      <c r="B2646" s="377" t="str">
        <f>ORÇAMENTO!C498</f>
        <v>15.05.14</v>
      </c>
      <c r="C2646" s="1047" t="str">
        <f>ORÇAMENTO!D498</f>
        <v>QUADRO DE DISTRIBUIÇÃO DE EMBUTIR, EM CHAPA DE AÇO, PARA ATÉ 16 DISJUNTORES, COM BARRAMENTO, PADRÃO DIN, EXCLUSIVE DISJUNTORES</v>
      </c>
      <c r="D2646" s="1047"/>
      <c r="E2646" s="1047"/>
      <c r="F2646" s="1047"/>
      <c r="G2646" s="377" t="str">
        <f>ORÇAMENTO!E499</f>
        <v xml:space="preserve">UN </v>
      </c>
      <c r="H2646" s="383">
        <f>SUM(H2647:H2656)</f>
        <v>10</v>
      </c>
      <c r="I2646" s="379"/>
      <c r="J2646" s="380"/>
      <c r="K2646" s="379"/>
      <c r="L2646" s="380"/>
      <c r="M2646" s="379"/>
      <c r="N2646" s="380"/>
      <c r="O2646" s="379"/>
    </row>
    <row r="2647" spans="1:15" s="122" customFormat="1" ht="12.75" customHeight="1">
      <c r="A2647" s="337"/>
      <c r="B2647" s="337"/>
      <c r="C2647" s="1062" t="s">
        <v>2154</v>
      </c>
      <c r="D2647" s="1062"/>
      <c r="E2647" s="1062"/>
      <c r="F2647" s="1062"/>
      <c r="G2647" s="389" t="s">
        <v>55</v>
      </c>
      <c r="H2647" s="584">
        <v>1</v>
      </c>
      <c r="I2647" s="582"/>
      <c r="J2647" s="582"/>
      <c r="K2647" s="583"/>
      <c r="L2647" s="583"/>
      <c r="M2647" s="583"/>
      <c r="N2647" s="589"/>
      <c r="O2647" s="589"/>
    </row>
    <row r="2648" spans="1:15" s="122" customFormat="1" ht="12.75" customHeight="1">
      <c r="A2648" s="337"/>
      <c r="B2648" s="337"/>
      <c r="C2648" s="1062" t="s">
        <v>2155</v>
      </c>
      <c r="D2648" s="1062"/>
      <c r="E2648" s="1062"/>
      <c r="F2648" s="1062"/>
      <c r="G2648" s="389" t="s">
        <v>55</v>
      </c>
      <c r="H2648" s="584">
        <v>1</v>
      </c>
      <c r="I2648" s="582"/>
      <c r="J2648" s="582"/>
      <c r="K2648" s="583"/>
      <c r="L2648" s="583"/>
      <c r="M2648" s="583"/>
      <c r="N2648" s="589"/>
      <c r="O2648" s="589"/>
    </row>
    <row r="2649" spans="1:15" s="122" customFormat="1" ht="12.75" customHeight="1">
      <c r="A2649" s="337"/>
      <c r="B2649" s="337"/>
      <c r="C2649" s="1062" t="s">
        <v>2156</v>
      </c>
      <c r="D2649" s="1062"/>
      <c r="E2649" s="1062"/>
      <c r="F2649" s="1062"/>
      <c r="G2649" s="389" t="s">
        <v>55</v>
      </c>
      <c r="H2649" s="584">
        <v>1</v>
      </c>
      <c r="I2649" s="582"/>
      <c r="J2649" s="582"/>
      <c r="K2649" s="583"/>
      <c r="L2649" s="583"/>
      <c r="M2649" s="583"/>
      <c r="N2649" s="589"/>
      <c r="O2649" s="589"/>
    </row>
    <row r="2650" spans="1:15" s="122" customFormat="1" ht="12.75" customHeight="1">
      <c r="A2650" s="337"/>
      <c r="B2650" s="337"/>
      <c r="C2650" s="1062" t="s">
        <v>2157</v>
      </c>
      <c r="D2650" s="1062"/>
      <c r="E2650" s="1062"/>
      <c r="F2650" s="1062"/>
      <c r="G2650" s="389" t="s">
        <v>55</v>
      </c>
      <c r="H2650" s="584">
        <v>1</v>
      </c>
      <c r="I2650" s="582"/>
      <c r="J2650" s="582"/>
      <c r="K2650" s="583"/>
      <c r="L2650" s="583"/>
      <c r="M2650" s="583"/>
      <c r="N2650" s="589"/>
      <c r="O2650" s="589"/>
    </row>
    <row r="2651" spans="1:15" s="122" customFormat="1" ht="12.75" customHeight="1">
      <c r="A2651" s="337"/>
      <c r="B2651" s="337"/>
      <c r="C2651" s="1062" t="s">
        <v>2158</v>
      </c>
      <c r="D2651" s="1062"/>
      <c r="E2651" s="1062"/>
      <c r="F2651" s="1062"/>
      <c r="G2651" s="389" t="s">
        <v>55</v>
      </c>
      <c r="H2651" s="584">
        <v>1</v>
      </c>
      <c r="I2651" s="582"/>
      <c r="J2651" s="582"/>
      <c r="K2651" s="583"/>
      <c r="L2651" s="583"/>
      <c r="M2651" s="583"/>
      <c r="N2651" s="589"/>
      <c r="O2651" s="589"/>
    </row>
    <row r="2652" spans="1:15" s="122" customFormat="1" ht="12.75" customHeight="1">
      <c r="A2652" s="337"/>
      <c r="B2652" s="337"/>
      <c r="C2652" s="1062" t="s">
        <v>2159</v>
      </c>
      <c r="D2652" s="1062"/>
      <c r="E2652" s="1062"/>
      <c r="F2652" s="1062"/>
      <c r="G2652" s="389" t="s">
        <v>55</v>
      </c>
      <c r="H2652" s="584">
        <v>1</v>
      </c>
      <c r="I2652" s="582"/>
      <c r="J2652" s="582"/>
      <c r="K2652" s="583"/>
      <c r="L2652" s="583"/>
      <c r="M2652" s="583"/>
      <c r="N2652" s="589"/>
      <c r="O2652" s="589"/>
    </row>
    <row r="2653" spans="1:15" s="122" customFormat="1" ht="12.75" customHeight="1">
      <c r="A2653" s="337"/>
      <c r="B2653" s="337"/>
      <c r="C2653" s="1062" t="s">
        <v>2112</v>
      </c>
      <c r="D2653" s="1062"/>
      <c r="E2653" s="1062"/>
      <c r="F2653" s="1062"/>
      <c r="G2653" s="389" t="s">
        <v>55</v>
      </c>
      <c r="H2653" s="584">
        <v>1</v>
      </c>
      <c r="I2653" s="582"/>
      <c r="J2653" s="582"/>
      <c r="K2653" s="583"/>
      <c r="L2653" s="583"/>
      <c r="M2653" s="583"/>
      <c r="N2653" s="589"/>
      <c r="O2653" s="589"/>
    </row>
    <row r="2654" spans="1:15" s="122" customFormat="1" ht="12.75" customHeight="1">
      <c r="A2654" s="337"/>
      <c r="B2654" s="337"/>
      <c r="C2654" s="1062" t="s">
        <v>2114</v>
      </c>
      <c r="D2654" s="1062"/>
      <c r="E2654" s="1062"/>
      <c r="F2654" s="1062"/>
      <c r="G2654" s="389" t="s">
        <v>55</v>
      </c>
      <c r="H2654" s="584">
        <v>1</v>
      </c>
      <c r="I2654" s="582"/>
      <c r="J2654" s="582"/>
      <c r="K2654" s="583"/>
      <c r="L2654" s="583"/>
      <c r="M2654" s="583"/>
      <c r="N2654" s="589"/>
      <c r="O2654" s="589"/>
    </row>
    <row r="2655" spans="1:15" s="122" customFormat="1" ht="12.75" customHeight="1">
      <c r="A2655" s="337"/>
      <c r="B2655" s="337"/>
      <c r="C2655" s="1062" t="s">
        <v>2113</v>
      </c>
      <c r="D2655" s="1062"/>
      <c r="E2655" s="1062"/>
      <c r="F2655" s="1062"/>
      <c r="G2655" s="389" t="s">
        <v>55</v>
      </c>
      <c r="H2655" s="584">
        <v>1</v>
      </c>
      <c r="I2655" s="582"/>
      <c r="J2655" s="582"/>
      <c r="K2655" s="583"/>
      <c r="L2655" s="583"/>
      <c r="M2655" s="583"/>
      <c r="N2655" s="589"/>
      <c r="O2655" s="589"/>
    </row>
    <row r="2656" spans="1:15" s="122" customFormat="1" ht="12.75" customHeight="1">
      <c r="A2656" s="337"/>
      <c r="B2656" s="337"/>
      <c r="C2656" s="1062" t="s">
        <v>2111</v>
      </c>
      <c r="D2656" s="1062"/>
      <c r="E2656" s="1062"/>
      <c r="F2656" s="1062"/>
      <c r="G2656" s="389" t="s">
        <v>55</v>
      </c>
      <c r="H2656" s="584">
        <v>1</v>
      </c>
      <c r="I2656" s="582"/>
      <c r="J2656" s="582"/>
      <c r="K2656" s="583"/>
      <c r="L2656" s="583"/>
      <c r="M2656" s="583"/>
      <c r="N2656" s="589"/>
      <c r="O2656" s="589"/>
    </row>
    <row r="2657" spans="1:15" ht="30.75" customHeight="1">
      <c r="A2657" s="377">
        <f>ORÇAMENTO!A499</f>
        <v>671</v>
      </c>
      <c r="B2657" s="377" t="str">
        <f>ORÇAMENTO!C499</f>
        <v>15.05.15</v>
      </c>
      <c r="C2657" s="1071" t="str">
        <f>ORÇAMENTO!D499</f>
        <v>CAIXA DE DERIVAÇÃO EM PVC 4" X 2" S/TAMPA, EMBUTIR, P/ELETRODUTO</v>
      </c>
      <c r="D2657" s="1071"/>
      <c r="E2657" s="1071"/>
      <c r="F2657" s="1071"/>
      <c r="G2657" s="377" t="str">
        <f>ORÇAMENTO!E499</f>
        <v xml:space="preserve">UN </v>
      </c>
      <c r="H2657" s="383">
        <f>H2658</f>
        <v>120</v>
      </c>
      <c r="I2657" s="379"/>
      <c r="J2657" s="380"/>
      <c r="K2657" s="379"/>
      <c r="L2657" s="380"/>
      <c r="M2657" s="379"/>
      <c r="N2657" s="380"/>
      <c r="O2657" s="379"/>
    </row>
    <row r="2658" spans="1:15" s="122" customFormat="1" ht="12.75" customHeight="1">
      <c r="A2658" s="337"/>
      <c r="B2658" s="337"/>
      <c r="C2658" s="1062" t="s">
        <v>2117</v>
      </c>
      <c r="D2658" s="1062"/>
      <c r="E2658" s="1062"/>
      <c r="F2658" s="1062"/>
      <c r="G2658" s="389" t="s">
        <v>55</v>
      </c>
      <c r="H2658" s="584">
        <v>120</v>
      </c>
      <c r="I2658" s="582"/>
      <c r="J2658" s="582"/>
      <c r="K2658" s="583"/>
      <c r="L2658" s="583"/>
      <c r="M2658" s="583"/>
      <c r="N2658" s="589"/>
      <c r="O2658" s="589"/>
    </row>
    <row r="2659" spans="1:15" ht="24.75" customHeight="1">
      <c r="A2659" s="377">
        <f>ORÇAMENTO!A500</f>
        <v>743</v>
      </c>
      <c r="B2659" s="377" t="str">
        <f>ORÇAMENTO!C500</f>
        <v>15.05.16</v>
      </c>
      <c r="C2659" s="1071" t="str">
        <f>ORÇAMENTO!D500</f>
        <v>CAIXA DE PASSAGEM PVC, 4" X 4" CM, EMBUTIR, P/ELETRODUTO</v>
      </c>
      <c r="D2659" s="1071"/>
      <c r="E2659" s="1071"/>
      <c r="F2659" s="1071"/>
      <c r="G2659" s="377" t="str">
        <f>ORÇAMENTO!E500</f>
        <v xml:space="preserve">UN </v>
      </c>
      <c r="H2659" s="383">
        <f>H2660</f>
        <v>20</v>
      </c>
      <c r="I2659" s="379"/>
      <c r="J2659" s="380"/>
      <c r="K2659" s="379"/>
      <c r="L2659" s="380"/>
      <c r="M2659" s="379"/>
      <c r="N2659" s="380"/>
      <c r="O2659" s="379"/>
    </row>
    <row r="2660" spans="1:15" s="122" customFormat="1" ht="12.75" customHeight="1">
      <c r="A2660" s="337"/>
      <c r="B2660" s="337"/>
      <c r="C2660" s="1062" t="s">
        <v>2117</v>
      </c>
      <c r="D2660" s="1062"/>
      <c r="E2660" s="1062"/>
      <c r="F2660" s="1062"/>
      <c r="G2660" s="389" t="s">
        <v>55</v>
      </c>
      <c r="H2660" s="584">
        <v>20</v>
      </c>
      <c r="I2660" s="582"/>
      <c r="J2660" s="582"/>
      <c r="K2660" s="583"/>
      <c r="L2660" s="583"/>
      <c r="M2660" s="583"/>
      <c r="N2660" s="589"/>
      <c r="O2660" s="589"/>
    </row>
    <row r="2661" spans="1:15" ht="33" customHeight="1">
      <c r="A2661" s="377">
        <f>ORÇAMENTO!A501</f>
        <v>9139</v>
      </c>
      <c r="B2661" s="377" t="str">
        <f>ORÇAMENTO!C501</f>
        <v>15.05.17</v>
      </c>
      <c r="C2661" s="1071" t="str">
        <f>ORÇAMENTO!D501</f>
        <v>CAIXA DE PASSAGEM PVC 20 X 20CM, SISTEMA X, COM TAMPA</v>
      </c>
      <c r="D2661" s="1071"/>
      <c r="E2661" s="1071"/>
      <c r="F2661" s="1071"/>
      <c r="G2661" s="377" t="str">
        <f>ORÇAMENTO!E501</f>
        <v xml:space="preserve">UN </v>
      </c>
      <c r="H2661" s="383">
        <f>H2662</f>
        <v>4</v>
      </c>
      <c r="I2661" s="379"/>
      <c r="J2661" s="380"/>
      <c r="K2661" s="379"/>
      <c r="L2661" s="380"/>
      <c r="M2661" s="379"/>
      <c r="N2661" s="380"/>
      <c r="O2661" s="379"/>
    </row>
    <row r="2662" spans="1:15" s="122" customFormat="1" ht="12.75" customHeight="1">
      <c r="A2662" s="337"/>
      <c r="B2662" s="337"/>
      <c r="C2662" s="1062" t="s">
        <v>2117</v>
      </c>
      <c r="D2662" s="1062"/>
      <c r="E2662" s="1062"/>
      <c r="F2662" s="1062"/>
      <c r="G2662" s="389" t="s">
        <v>55</v>
      </c>
      <c r="H2662" s="584">
        <v>4</v>
      </c>
      <c r="I2662" s="582"/>
      <c r="J2662" s="582"/>
      <c r="K2662" s="583"/>
      <c r="L2662" s="583"/>
      <c r="M2662" s="583"/>
      <c r="N2662" s="589"/>
      <c r="O2662" s="589"/>
    </row>
    <row r="2663" spans="1:15" ht="33" customHeight="1">
      <c r="A2663" s="377">
        <f>ORÇAMENTO!A502</f>
        <v>354</v>
      </c>
      <c r="B2663" s="377" t="str">
        <f>ORÇAMENTO!C502</f>
        <v>15.05.18</v>
      </c>
      <c r="C2663" s="1071" t="str">
        <f>ORÇAMENTO!D502</f>
        <v>ELETRODUTO DE PVC RÍGIDO ROSCÁVEL, DIÂM = 32MM (1")</v>
      </c>
      <c r="D2663" s="1071"/>
      <c r="E2663" s="1071"/>
      <c r="F2663" s="1071"/>
      <c r="G2663" s="377" t="str">
        <f>ORÇAMENTO!E502</f>
        <v>M</v>
      </c>
      <c r="H2663" s="383">
        <f>H2664</f>
        <v>20</v>
      </c>
      <c r="I2663" s="379"/>
      <c r="J2663" s="380"/>
      <c r="K2663" s="379"/>
      <c r="L2663" s="380"/>
      <c r="M2663" s="379"/>
      <c r="N2663" s="380"/>
      <c r="O2663" s="379"/>
    </row>
    <row r="2664" spans="1:15" s="122" customFormat="1" ht="12.75" customHeight="1">
      <c r="A2664" s="337"/>
      <c r="B2664" s="337"/>
      <c r="C2664" s="1062" t="s">
        <v>2117</v>
      </c>
      <c r="D2664" s="1062"/>
      <c r="E2664" s="1062"/>
      <c r="F2664" s="1062"/>
      <c r="G2664" s="389" t="s">
        <v>55</v>
      </c>
      <c r="H2664" s="584">
        <v>20</v>
      </c>
      <c r="I2664" s="582"/>
      <c r="J2664" s="582"/>
      <c r="K2664" s="583"/>
      <c r="L2664" s="583"/>
      <c r="M2664" s="583"/>
      <c r="N2664" s="589"/>
      <c r="O2664" s="589"/>
    </row>
    <row r="2665" spans="1:15" ht="38.25" customHeight="1">
      <c r="A2665" s="377">
        <f>ORÇAMENTO!A503</f>
        <v>91907</v>
      </c>
      <c r="B2665" s="377" t="str">
        <f>ORÇAMENTO!C503</f>
        <v>15.05.19</v>
      </c>
      <c r="C2665" s="1071" t="str">
        <f>ORÇAMENTO!D503</f>
        <v>CURVA 180 GRAUS PARA ELETRODUTO, PVC, ROSCÁVEL, DN 32 MM (1), PARA CIRCUITOS TERMINAIS, INSTALADA EM LAJE - FORNECIMENTO E INSTALAÇÃO. AF_12/2015</v>
      </c>
      <c r="D2665" s="1071"/>
      <c r="E2665" s="1071"/>
      <c r="F2665" s="1071"/>
      <c r="G2665" s="377" t="str">
        <f>ORÇAMENTO!E503</f>
        <v xml:space="preserve">UN </v>
      </c>
      <c r="H2665" s="383">
        <f>H2666</f>
        <v>2</v>
      </c>
      <c r="I2665" s="379"/>
      <c r="J2665" s="380"/>
      <c r="K2665" s="379"/>
      <c r="L2665" s="380"/>
      <c r="M2665" s="379"/>
      <c r="N2665" s="380"/>
      <c r="O2665" s="379"/>
    </row>
    <row r="2666" spans="1:15" s="122" customFormat="1" ht="12.75" customHeight="1">
      <c r="A2666" s="337"/>
      <c r="B2666" s="337"/>
      <c r="C2666" s="1062" t="s">
        <v>2117</v>
      </c>
      <c r="D2666" s="1062"/>
      <c r="E2666" s="1062"/>
      <c r="F2666" s="1062"/>
      <c r="G2666" s="389" t="s">
        <v>55</v>
      </c>
      <c r="H2666" s="584">
        <v>2</v>
      </c>
      <c r="I2666" s="582"/>
      <c r="J2666" s="582"/>
      <c r="K2666" s="583"/>
      <c r="L2666" s="583"/>
      <c r="M2666" s="583"/>
      <c r="N2666" s="589"/>
      <c r="O2666" s="589"/>
    </row>
    <row r="2667" spans="1:15" ht="48" customHeight="1">
      <c r="A2667" s="377">
        <f>ORÇAMENTO!A504</f>
        <v>91885</v>
      </c>
      <c r="B2667" s="377" t="str">
        <f>ORÇAMENTO!C504</f>
        <v>15.05.20</v>
      </c>
      <c r="C2667" s="1071" t="str">
        <f>ORÇAMENTO!D504</f>
        <v>LUVA PARA ELETRODUTO, PVC, ROSCÁVEL, DN 32 MM (1"), PARA CIRCUITOS TERMINAIS, INSTALADA EM PAREDE - FORNECIMENTO E INSTALAÇÃO. AF_12/2015</v>
      </c>
      <c r="D2667" s="1071"/>
      <c r="E2667" s="1071"/>
      <c r="F2667" s="1071"/>
      <c r="G2667" s="377" t="str">
        <f>ORÇAMENTO!E504</f>
        <v xml:space="preserve">UN </v>
      </c>
      <c r="H2667" s="383">
        <f>H2668</f>
        <v>6</v>
      </c>
      <c r="I2667" s="379"/>
      <c r="J2667" s="380"/>
      <c r="K2667" s="379"/>
      <c r="L2667" s="380"/>
      <c r="M2667" s="379"/>
      <c r="N2667" s="380"/>
      <c r="O2667" s="379"/>
    </row>
    <row r="2668" spans="1:15" s="122" customFormat="1" ht="12.75" customHeight="1">
      <c r="A2668" s="337"/>
      <c r="B2668" s="337"/>
      <c r="C2668" s="1062" t="s">
        <v>2117</v>
      </c>
      <c r="D2668" s="1062"/>
      <c r="E2668" s="1062"/>
      <c r="F2668" s="1062"/>
      <c r="G2668" s="389" t="s">
        <v>55</v>
      </c>
      <c r="H2668" s="584">
        <v>6</v>
      </c>
      <c r="I2668" s="582"/>
      <c r="J2668" s="582"/>
      <c r="K2668" s="583"/>
      <c r="L2668" s="583"/>
      <c r="M2668" s="583"/>
      <c r="N2668" s="589"/>
      <c r="O2668" s="589"/>
    </row>
    <row r="2669" spans="1:15" ht="42.75" customHeight="1">
      <c r="A2669" s="377">
        <f>ORÇAMENTO!A505</f>
        <v>91917</v>
      </c>
      <c r="B2669" s="377" t="str">
        <f>ORÇAMENTO!C505</f>
        <v>15.05.21</v>
      </c>
      <c r="C2669" s="1071" t="str">
        <f>ORÇAMENTO!D505</f>
        <v>CURVA 90 GRAUS PARA ELETRODUTO, PVC, ROSCÁVEL, DN 32 MM (1"), PARA CIRCUITOS TERMINAIS, INSTALADA EM PAREDE - FORNECIMENTO E INSTALAÇÃO. AF_12/2015</v>
      </c>
      <c r="D2669" s="1071"/>
      <c r="E2669" s="1071"/>
      <c r="F2669" s="1071"/>
      <c r="G2669" s="377" t="str">
        <f>ORÇAMENTO!E505</f>
        <v xml:space="preserve">UN </v>
      </c>
      <c r="H2669" s="383">
        <f>H2670</f>
        <v>12</v>
      </c>
      <c r="I2669" s="379"/>
      <c r="J2669" s="380"/>
      <c r="K2669" s="379"/>
      <c r="L2669" s="380"/>
      <c r="M2669" s="379"/>
      <c r="N2669" s="380"/>
      <c r="O2669" s="379"/>
    </row>
    <row r="2670" spans="1:15" s="122" customFormat="1" ht="12.75" customHeight="1">
      <c r="A2670" s="337"/>
      <c r="B2670" s="337"/>
      <c r="C2670" s="1062" t="s">
        <v>2117</v>
      </c>
      <c r="D2670" s="1062"/>
      <c r="E2670" s="1062"/>
      <c r="F2670" s="1062"/>
      <c r="G2670" s="389" t="s">
        <v>55</v>
      </c>
      <c r="H2670" s="584">
        <v>12</v>
      </c>
      <c r="I2670" s="582"/>
      <c r="J2670" s="582"/>
      <c r="K2670" s="583"/>
      <c r="L2670" s="583"/>
      <c r="M2670" s="583"/>
      <c r="N2670" s="589"/>
      <c r="O2670" s="589"/>
    </row>
    <row r="2671" spans="1:15" ht="44.25" customHeight="1">
      <c r="A2671" s="377">
        <f>ORÇAMENTO!A506</f>
        <v>91856</v>
      </c>
      <c r="B2671" s="377" t="str">
        <f>ORÇAMENTO!C506</f>
        <v>15.05.22</v>
      </c>
      <c r="C2671" s="1071" t="str">
        <f>ORÇAMENTO!D506</f>
        <v>ELETRODUTO FLEXÍVEL CORRUGADO, PVC, DN 32 MM (1"), PARA CIRCUITOS TERMINAIS, INSTALADO EM PAREDE - FORNECIMENTO E INSTALAÇÃO. AF_03/2023</v>
      </c>
      <c r="D2671" s="1071"/>
      <c r="E2671" s="1071"/>
      <c r="F2671" s="1071"/>
      <c r="G2671" s="377" t="str">
        <f>ORÇAMENTO!E506</f>
        <v>M</v>
      </c>
      <c r="H2671" s="383">
        <f>H2672</f>
        <v>480.09599999999995</v>
      </c>
      <c r="I2671" s="379"/>
      <c r="J2671" s="380"/>
      <c r="K2671" s="379"/>
      <c r="L2671" s="380"/>
      <c r="M2671" s="379"/>
      <c r="N2671" s="380"/>
      <c r="O2671" s="379"/>
    </row>
    <row r="2672" spans="1:15" s="122" customFormat="1" ht="16.5" customHeight="1">
      <c r="A2672" s="337"/>
      <c r="B2672" s="337"/>
      <c r="C2672" s="1062" t="s">
        <v>2117</v>
      </c>
      <c r="D2672" s="1062"/>
      <c r="E2672" s="1062"/>
      <c r="F2672" s="1062"/>
      <c r="G2672" s="389" t="s">
        <v>246</v>
      </c>
      <c r="H2672" s="582">
        <f>400.08*1.2</f>
        <v>480.09599999999995</v>
      </c>
      <c r="I2672" s="582"/>
      <c r="J2672" s="582"/>
      <c r="K2672" s="583"/>
      <c r="L2672" s="583"/>
      <c r="M2672" s="583"/>
      <c r="N2672" s="589"/>
      <c r="O2672" s="589"/>
    </row>
    <row r="2673" spans="1:15" ht="39" customHeight="1">
      <c r="A2673" s="377">
        <f>ORÇAMENTO!A507</f>
        <v>91846</v>
      </c>
      <c r="B2673" s="377" t="str">
        <f>ORÇAMENTO!C507</f>
        <v>15.05.23</v>
      </c>
      <c r="C2673" s="1071" t="str">
        <f>ORÇAMENTO!D507</f>
        <v>ELETRODUTO FLEXÍVEL CORRUGADO, PVC, DN 32 MM (1"), PARA CIRCUITOS TERMINAIS, INSTALADO EM LAJE - FORNECIMENTO E INSTALAÇÃO. AF_03/2023</v>
      </c>
      <c r="D2673" s="1071"/>
      <c r="E2673" s="1071"/>
      <c r="F2673" s="1071"/>
      <c r="G2673" s="377" t="str">
        <f>ORÇAMENTO!E507</f>
        <v>M</v>
      </c>
      <c r="H2673" s="383">
        <f>H2674</f>
        <v>1449.6959999999999</v>
      </c>
      <c r="I2673" s="379"/>
      <c r="J2673" s="380"/>
      <c r="K2673" s="379"/>
      <c r="L2673" s="380"/>
      <c r="M2673" s="379"/>
      <c r="N2673" s="380"/>
      <c r="O2673" s="379"/>
    </row>
    <row r="2674" spans="1:15" s="122" customFormat="1" ht="12.75" customHeight="1">
      <c r="A2674" s="337"/>
      <c r="B2674" s="337"/>
      <c r="C2674" s="1062" t="s">
        <v>2117</v>
      </c>
      <c r="D2674" s="1062"/>
      <c r="E2674" s="1062"/>
      <c r="F2674" s="1062"/>
      <c r="G2674" s="389" t="s">
        <v>246</v>
      </c>
      <c r="H2674" s="582">
        <f>1208.08*1.2</f>
        <v>1449.6959999999999</v>
      </c>
      <c r="I2674" s="582"/>
      <c r="J2674" s="582"/>
      <c r="K2674" s="583"/>
      <c r="L2674" s="583"/>
      <c r="M2674" s="583"/>
      <c r="N2674" s="589"/>
      <c r="O2674" s="589"/>
    </row>
    <row r="2675" spans="1:15" ht="25.5" customHeight="1">
      <c r="A2675" s="377">
        <f>ORÇAMENTO!A508</f>
        <v>93653</v>
      </c>
      <c r="B2675" s="377" t="str">
        <f>ORÇAMENTO!C508</f>
        <v>15.05.24</v>
      </c>
      <c r="C2675" s="1071" t="str">
        <f>ORÇAMENTO!D508</f>
        <v>DISJUNTOR MONOPOLAR TIPO DIN, CORRENTE NOMINAL DE 10A - FORNECIMENTO E INSTALAÇÃO. AF_10/2020</v>
      </c>
      <c r="D2675" s="1071"/>
      <c r="E2675" s="1071"/>
      <c r="F2675" s="1071"/>
      <c r="G2675" s="377" t="str">
        <f>ORÇAMENTO!E508</f>
        <v xml:space="preserve">UN </v>
      </c>
      <c r="H2675" s="383">
        <f>SUM(H2676:H2680)</f>
        <v>6</v>
      </c>
      <c r="I2675" s="379"/>
      <c r="J2675" s="380"/>
      <c r="K2675" s="379"/>
      <c r="L2675" s="380"/>
      <c r="M2675" s="379"/>
      <c r="N2675" s="380"/>
      <c r="O2675" s="379"/>
    </row>
    <row r="2676" spans="1:15" s="122" customFormat="1" ht="12.75" customHeight="1">
      <c r="A2676" s="337"/>
      <c r="B2676" s="337"/>
      <c r="C2676" s="1062" t="s">
        <v>2154</v>
      </c>
      <c r="D2676" s="1062"/>
      <c r="E2676" s="1062"/>
      <c r="F2676" s="1062"/>
      <c r="G2676" s="389" t="s">
        <v>55</v>
      </c>
      <c r="H2676" s="584">
        <v>1</v>
      </c>
      <c r="I2676" s="582"/>
      <c r="J2676" s="582"/>
      <c r="K2676" s="583"/>
      <c r="L2676" s="583"/>
      <c r="M2676" s="583"/>
      <c r="N2676" s="589"/>
      <c r="O2676" s="589"/>
    </row>
    <row r="2677" spans="1:15" s="122" customFormat="1" ht="12.75" customHeight="1">
      <c r="A2677" s="337"/>
      <c r="B2677" s="337"/>
      <c r="C2677" s="1062" t="s">
        <v>2155</v>
      </c>
      <c r="D2677" s="1062"/>
      <c r="E2677" s="1062"/>
      <c r="F2677" s="1062"/>
      <c r="G2677" s="389" t="s">
        <v>55</v>
      </c>
      <c r="H2677" s="584">
        <v>1</v>
      </c>
      <c r="I2677" s="582"/>
      <c r="J2677" s="582"/>
      <c r="K2677" s="583"/>
      <c r="L2677" s="583"/>
      <c r="M2677" s="583"/>
      <c r="N2677" s="589"/>
      <c r="O2677" s="589"/>
    </row>
    <row r="2678" spans="1:15" s="122" customFormat="1" ht="12.75" customHeight="1">
      <c r="A2678" s="337"/>
      <c r="B2678" s="337"/>
      <c r="C2678" s="1062" t="s">
        <v>2156</v>
      </c>
      <c r="D2678" s="1062"/>
      <c r="E2678" s="1062"/>
      <c r="F2678" s="1062"/>
      <c r="G2678" s="389" t="s">
        <v>55</v>
      </c>
      <c r="H2678" s="584">
        <v>1</v>
      </c>
      <c r="I2678" s="582"/>
      <c r="J2678" s="582"/>
      <c r="K2678" s="583"/>
      <c r="L2678" s="583"/>
      <c r="M2678" s="583"/>
      <c r="N2678" s="589"/>
      <c r="O2678" s="589"/>
    </row>
    <row r="2679" spans="1:15" s="122" customFormat="1" ht="12.75" customHeight="1">
      <c r="A2679" s="337"/>
      <c r="B2679" s="337"/>
      <c r="C2679" s="1062" t="s">
        <v>2157</v>
      </c>
      <c r="D2679" s="1062"/>
      <c r="E2679" s="1062"/>
      <c r="F2679" s="1062"/>
      <c r="G2679" s="389" t="s">
        <v>55</v>
      </c>
      <c r="H2679" s="584">
        <v>2</v>
      </c>
      <c r="I2679" s="582"/>
      <c r="J2679" s="582"/>
      <c r="K2679" s="583"/>
      <c r="L2679" s="583"/>
      <c r="M2679" s="583"/>
      <c r="N2679" s="589"/>
      <c r="O2679" s="589"/>
    </row>
    <row r="2680" spans="1:15" s="122" customFormat="1" ht="12.75" customHeight="1">
      <c r="A2680" s="337"/>
      <c r="B2680" s="337"/>
      <c r="C2680" s="1062" t="s">
        <v>2158</v>
      </c>
      <c r="D2680" s="1062"/>
      <c r="E2680" s="1062"/>
      <c r="F2680" s="1062"/>
      <c r="G2680" s="389" t="s">
        <v>55</v>
      </c>
      <c r="H2680" s="584">
        <v>1</v>
      </c>
      <c r="I2680" s="582"/>
      <c r="J2680" s="582"/>
      <c r="K2680" s="583"/>
      <c r="L2680" s="583"/>
      <c r="M2680" s="583"/>
      <c r="N2680" s="589"/>
      <c r="O2680" s="589"/>
    </row>
    <row r="2681" spans="1:15" ht="33" customHeight="1">
      <c r="A2681" s="377">
        <f>ORÇAMENTO!A509</f>
        <v>93654</v>
      </c>
      <c r="B2681" s="377" t="str">
        <f>ORÇAMENTO!C509</f>
        <v>15.05.25</v>
      </c>
      <c r="C2681" s="1071" t="str">
        <f>ORÇAMENTO!D509</f>
        <v>DISJUNTOR MONOPOLAR TIPO DIN, CORRENTE NOMINAL DE 16A - FORNECIMENTO E INSTALAÇÃO. AF_10/2020</v>
      </c>
      <c r="D2681" s="1071"/>
      <c r="E2681" s="1071"/>
      <c r="F2681" s="1071"/>
      <c r="G2681" s="377" t="str">
        <f>ORÇAMENTO!E509</f>
        <v xml:space="preserve">UN </v>
      </c>
      <c r="H2681" s="383">
        <f>H2682</f>
        <v>3</v>
      </c>
      <c r="I2681" s="379"/>
      <c r="J2681" s="380"/>
      <c r="K2681" s="379"/>
      <c r="L2681" s="380"/>
      <c r="M2681" s="379"/>
      <c r="N2681" s="380"/>
      <c r="O2681" s="379"/>
    </row>
    <row r="2682" spans="1:15" s="122" customFormat="1" ht="12.75" customHeight="1">
      <c r="A2682" s="337"/>
      <c r="B2682" s="337"/>
      <c r="C2682" s="1062" t="s">
        <v>2154</v>
      </c>
      <c r="D2682" s="1062"/>
      <c r="E2682" s="1062"/>
      <c r="F2682" s="1062"/>
      <c r="G2682" s="389" t="s">
        <v>55</v>
      </c>
      <c r="H2682" s="584">
        <v>3</v>
      </c>
      <c r="I2682" s="582"/>
      <c r="J2682" s="582"/>
      <c r="K2682" s="583"/>
      <c r="L2682" s="583"/>
      <c r="M2682" s="583"/>
      <c r="N2682" s="589"/>
      <c r="O2682" s="589"/>
    </row>
    <row r="2683" spans="1:15" s="122" customFormat="1" ht="12.75" customHeight="1">
      <c r="A2683" s="337"/>
      <c r="B2683" s="337"/>
      <c r="C2683" s="1062" t="s">
        <v>2155</v>
      </c>
      <c r="D2683" s="1062"/>
      <c r="E2683" s="1062"/>
      <c r="F2683" s="1062"/>
      <c r="G2683" s="389" t="s">
        <v>55</v>
      </c>
      <c r="H2683" s="584">
        <v>3</v>
      </c>
      <c r="I2683" s="582"/>
      <c r="J2683" s="582"/>
      <c r="K2683" s="583"/>
      <c r="L2683" s="583"/>
      <c r="M2683" s="583"/>
      <c r="N2683" s="589"/>
      <c r="O2683" s="589"/>
    </row>
    <row r="2684" spans="1:15" s="122" customFormat="1" ht="12.75" customHeight="1">
      <c r="A2684" s="337"/>
      <c r="B2684" s="337"/>
      <c r="C2684" s="1062" t="s">
        <v>2156</v>
      </c>
      <c r="D2684" s="1062"/>
      <c r="E2684" s="1062"/>
      <c r="F2684" s="1062"/>
      <c r="G2684" s="389" t="s">
        <v>55</v>
      </c>
      <c r="H2684" s="584">
        <v>5</v>
      </c>
      <c r="I2684" s="582"/>
      <c r="J2684" s="582"/>
      <c r="K2684" s="583"/>
      <c r="L2684" s="583"/>
      <c r="M2684" s="583"/>
      <c r="N2684" s="589"/>
      <c r="O2684" s="589"/>
    </row>
    <row r="2685" spans="1:15" s="122" customFormat="1" ht="12.75" customHeight="1">
      <c r="A2685" s="337"/>
      <c r="B2685" s="337"/>
      <c r="C2685" s="1062" t="s">
        <v>2157</v>
      </c>
      <c r="D2685" s="1062"/>
      <c r="E2685" s="1062"/>
      <c r="F2685" s="1062"/>
      <c r="G2685" s="389" t="s">
        <v>55</v>
      </c>
      <c r="H2685" s="584">
        <v>4</v>
      </c>
      <c r="I2685" s="582"/>
      <c r="J2685" s="582"/>
      <c r="K2685" s="583"/>
      <c r="L2685" s="583"/>
      <c r="M2685" s="583"/>
      <c r="N2685" s="589"/>
      <c r="O2685" s="589"/>
    </row>
    <row r="2686" spans="1:15" s="122" customFormat="1" ht="12.75" customHeight="1">
      <c r="A2686" s="337"/>
      <c r="B2686" s="337"/>
      <c r="C2686" s="1062" t="s">
        <v>2158</v>
      </c>
      <c r="D2686" s="1062"/>
      <c r="E2686" s="1062"/>
      <c r="F2686" s="1062"/>
      <c r="G2686" s="389" t="s">
        <v>55</v>
      </c>
      <c r="H2686" s="584">
        <v>6</v>
      </c>
      <c r="I2686" s="582"/>
      <c r="J2686" s="582"/>
      <c r="K2686" s="583"/>
      <c r="L2686" s="583"/>
      <c r="M2686" s="583"/>
      <c r="N2686" s="589"/>
      <c r="O2686" s="589"/>
    </row>
    <row r="2687" spans="1:15" s="122" customFormat="1" ht="12.75" customHeight="1">
      <c r="A2687" s="337"/>
      <c r="B2687" s="337"/>
      <c r="C2687" s="1062" t="s">
        <v>2159</v>
      </c>
      <c r="D2687" s="1062"/>
      <c r="E2687" s="1062"/>
      <c r="F2687" s="1062"/>
      <c r="G2687" s="389" t="s">
        <v>55</v>
      </c>
      <c r="H2687" s="584">
        <v>4</v>
      </c>
      <c r="I2687" s="582"/>
      <c r="J2687" s="582"/>
      <c r="K2687" s="583"/>
      <c r="L2687" s="583"/>
      <c r="M2687" s="583"/>
      <c r="N2687" s="589"/>
      <c r="O2687" s="589"/>
    </row>
    <row r="2688" spans="1:15" ht="33" customHeight="1">
      <c r="A2688" s="377">
        <f>ORÇAMENTO!A510</f>
        <v>93656</v>
      </c>
      <c r="B2688" s="377" t="str">
        <f>ORÇAMENTO!C510</f>
        <v>15.05.26</v>
      </c>
      <c r="C2688" s="1071" t="str">
        <f>ORÇAMENTO!D510</f>
        <v>DISJUNTOR MONOPOLAR TIPO DIN, CORRENTE NOMINAL DE 25A - FORNECIMENTO E INSTALAÇÃO. AF_10/2020</v>
      </c>
      <c r="D2688" s="1071"/>
      <c r="E2688" s="1071"/>
      <c r="F2688" s="1071"/>
      <c r="G2688" s="377" t="str">
        <f>ORÇAMENTO!E510</f>
        <v xml:space="preserve">UN </v>
      </c>
      <c r="H2688" s="383">
        <f>H2689</f>
        <v>1</v>
      </c>
      <c r="I2688" s="379"/>
      <c r="J2688" s="380"/>
      <c r="K2688" s="379"/>
      <c r="L2688" s="380"/>
      <c r="M2688" s="379"/>
      <c r="N2688" s="380"/>
      <c r="O2688" s="379"/>
    </row>
    <row r="2689" spans="1:15" s="122" customFormat="1" ht="12.75" customHeight="1">
      <c r="A2689" s="337"/>
      <c r="B2689" s="337"/>
      <c r="C2689" s="1062" t="s">
        <v>2156</v>
      </c>
      <c r="D2689" s="1062"/>
      <c r="E2689" s="1062"/>
      <c r="F2689" s="1062"/>
      <c r="G2689" s="389" t="s">
        <v>55</v>
      </c>
      <c r="H2689" s="584">
        <v>1</v>
      </c>
      <c r="I2689" s="582"/>
      <c r="J2689" s="582"/>
      <c r="K2689" s="583"/>
      <c r="L2689" s="583"/>
      <c r="M2689" s="583"/>
      <c r="N2689" s="589"/>
      <c r="O2689" s="589"/>
    </row>
    <row r="2690" spans="1:15" s="122" customFormat="1" ht="12.75" customHeight="1">
      <c r="A2690" s="337"/>
      <c r="B2690" s="337"/>
      <c r="C2690" s="1062" t="s">
        <v>2112</v>
      </c>
      <c r="D2690" s="1062"/>
      <c r="E2690" s="1062"/>
      <c r="F2690" s="1062"/>
      <c r="G2690" s="389" t="s">
        <v>55</v>
      </c>
      <c r="H2690" s="584">
        <v>7</v>
      </c>
      <c r="I2690" s="582"/>
      <c r="J2690" s="582"/>
      <c r="K2690" s="583"/>
      <c r="L2690" s="583"/>
      <c r="M2690" s="583"/>
      <c r="N2690" s="589"/>
      <c r="O2690" s="589"/>
    </row>
    <row r="2691" spans="1:15" s="122" customFormat="1" ht="12.75" customHeight="1">
      <c r="A2691" s="337"/>
      <c r="B2691" s="337"/>
      <c r="C2691" s="1062" t="s">
        <v>2114</v>
      </c>
      <c r="D2691" s="1062"/>
      <c r="E2691" s="1062"/>
      <c r="F2691" s="1062"/>
      <c r="G2691" s="389" t="s">
        <v>55</v>
      </c>
      <c r="H2691" s="584">
        <v>7</v>
      </c>
      <c r="I2691" s="582"/>
      <c r="J2691" s="582"/>
      <c r="K2691" s="583"/>
      <c r="L2691" s="583"/>
      <c r="M2691" s="583"/>
      <c r="N2691" s="589"/>
      <c r="O2691" s="589"/>
    </row>
    <row r="2692" spans="1:15" s="122" customFormat="1" ht="12.75" customHeight="1">
      <c r="A2692" s="337"/>
      <c r="B2692" s="337"/>
      <c r="C2692" s="1062" t="s">
        <v>2113</v>
      </c>
      <c r="D2692" s="1062"/>
      <c r="E2692" s="1062"/>
      <c r="F2692" s="1062"/>
      <c r="G2692" s="389" t="s">
        <v>55</v>
      </c>
      <c r="H2692" s="584">
        <v>4</v>
      </c>
      <c r="I2692" s="582"/>
      <c r="J2692" s="582"/>
      <c r="K2692" s="583"/>
      <c r="L2692" s="583"/>
      <c r="M2692" s="583"/>
      <c r="N2692" s="589"/>
      <c r="O2692" s="589"/>
    </row>
    <row r="2693" spans="1:15" s="122" customFormat="1" ht="37.5" customHeight="1">
      <c r="A2693" s="377">
        <f>ORÇAMENTO!A511</f>
        <v>93670</v>
      </c>
      <c r="B2693" s="377" t="str">
        <f>ORÇAMENTO!C511</f>
        <v>15.05.27</v>
      </c>
      <c r="C2693" s="1047" t="str">
        <f>ORÇAMENTO!D511</f>
        <v>DISJUNTOR TRIPOLAR TIPO DIN, CORRENTE NOMINAL DE 25A - FORNECIMENTO E INSTALAÇÃO. AF_10/2020</v>
      </c>
      <c r="D2693" s="1063"/>
      <c r="E2693" s="1063"/>
      <c r="F2693" s="1064"/>
      <c r="G2693" s="377" t="str">
        <f>ORÇAMENTO!E511</f>
        <v xml:space="preserve">UN </v>
      </c>
      <c r="H2693" s="383">
        <f>H2694</f>
        <v>4</v>
      </c>
      <c r="I2693" s="379"/>
      <c r="J2693" s="380"/>
      <c r="K2693" s="379"/>
      <c r="L2693" s="380"/>
      <c r="M2693" s="379"/>
      <c r="N2693" s="380"/>
      <c r="O2693" s="379"/>
    </row>
    <row r="2694" spans="1:15" s="122" customFormat="1" ht="12.75" customHeight="1">
      <c r="A2694" s="337"/>
      <c r="B2694" s="337"/>
      <c r="C2694" s="1062" t="s">
        <v>2111</v>
      </c>
      <c r="D2694" s="1062"/>
      <c r="E2694" s="1062"/>
      <c r="F2694" s="1062"/>
      <c r="G2694" s="389" t="s">
        <v>55</v>
      </c>
      <c r="H2694" s="584">
        <v>4</v>
      </c>
      <c r="I2694" s="582"/>
      <c r="J2694" s="582"/>
      <c r="K2694" s="583"/>
      <c r="L2694" s="583"/>
      <c r="M2694" s="583"/>
      <c r="N2694" s="589"/>
      <c r="O2694" s="589"/>
    </row>
    <row r="2695" spans="1:15" ht="36.75" customHeight="1">
      <c r="A2695" s="377">
        <f>ORÇAMENTO!A512</f>
        <v>91930</v>
      </c>
      <c r="B2695" s="377" t="str">
        <f>ORÇAMENTO!C512</f>
        <v>15.05.28</v>
      </c>
      <c r="C2695" s="1071" t="str">
        <f>ORÇAMENTO!D512</f>
        <v>CABO DE COBRE FLEXÍVEL ISOLADO, 6 MM², ANTI-CHAMA 450/750 V, PARA CIRCUITOS TERMINAIS - FORNECIMENTO E INSTALAÇÃO. AF_03/2023</v>
      </c>
      <c r="D2695" s="1076"/>
      <c r="E2695" s="1076"/>
      <c r="F2695" s="1077"/>
      <c r="G2695" s="377" t="str">
        <f>ORÇAMENTO!E512</f>
        <v>M</v>
      </c>
      <c r="H2695" s="380">
        <f>H2696</f>
        <v>147.41999999999999</v>
      </c>
      <c r="I2695" s="379"/>
      <c r="J2695" s="380"/>
      <c r="K2695" s="379"/>
      <c r="L2695" s="380"/>
      <c r="M2695" s="379"/>
      <c r="N2695" s="380"/>
      <c r="O2695" s="379"/>
    </row>
    <row r="2696" spans="1:15" s="122" customFormat="1" ht="12.75" customHeight="1">
      <c r="A2696" s="337"/>
      <c r="B2696" s="337"/>
      <c r="C2696" s="1062" t="s">
        <v>2117</v>
      </c>
      <c r="D2696" s="1062"/>
      <c r="E2696" s="1062"/>
      <c r="F2696" s="1062"/>
      <c r="G2696" s="389" t="s">
        <v>246</v>
      </c>
      <c r="H2696" s="582">
        <f>122.85*1.2</f>
        <v>147.41999999999999</v>
      </c>
      <c r="I2696" s="582"/>
      <c r="J2696" s="582"/>
      <c r="K2696" s="583"/>
      <c r="L2696" s="583"/>
      <c r="M2696" s="583"/>
      <c r="N2696" s="589"/>
      <c r="O2696" s="589"/>
    </row>
    <row r="2697" spans="1:15" ht="43.5" customHeight="1">
      <c r="A2697" s="377">
        <f>ORÇAMENTO!A513</f>
        <v>91924</v>
      </c>
      <c r="B2697" s="377" t="str">
        <f>ORÇAMENTO!C513</f>
        <v>15.05.29</v>
      </c>
      <c r="C2697" s="1004" t="str">
        <f>ORÇAMENTO!D513</f>
        <v>CABO DE COBRE FLEXÍVEL ISOLADO, 1,5 MM², ANTI-CHAMA 450/750 V, PARA CIRCUITOS TERMINAIS - FORNECIMENTO E INSTALAÇÃO. AF_12/2015</v>
      </c>
      <c r="D2697" s="1004"/>
      <c r="E2697" s="1004"/>
      <c r="F2697" s="1004"/>
      <c r="G2697" s="377" t="str">
        <f>ORÇAMENTO!E513</f>
        <v>M</v>
      </c>
      <c r="H2697" s="380">
        <f>H2698</f>
        <v>3075.0239999999999</v>
      </c>
      <c r="I2697" s="379"/>
      <c r="J2697" s="380"/>
      <c r="K2697" s="379"/>
      <c r="L2697" s="380"/>
      <c r="M2697" s="379"/>
      <c r="N2697" s="380"/>
      <c r="O2697" s="379"/>
    </row>
    <row r="2698" spans="1:15" s="143" customFormat="1" ht="12.75" customHeight="1">
      <c r="A2698" s="337"/>
      <c r="B2698" s="337"/>
      <c r="C2698" s="1062" t="s">
        <v>2117</v>
      </c>
      <c r="D2698" s="1062"/>
      <c r="E2698" s="1062"/>
      <c r="F2698" s="1062"/>
      <c r="G2698" s="389" t="s">
        <v>246</v>
      </c>
      <c r="H2698" s="582">
        <f>2562.52*1.2</f>
        <v>3075.0239999999999</v>
      </c>
      <c r="I2698" s="582"/>
      <c r="J2698" s="582"/>
      <c r="K2698" s="583"/>
      <c r="L2698" s="583"/>
      <c r="M2698" s="583"/>
      <c r="N2698" s="589"/>
      <c r="O2698" s="589"/>
    </row>
    <row r="2699" spans="1:15" ht="36.75" customHeight="1">
      <c r="A2699" s="377">
        <f>ORÇAMENTO!A514</f>
        <v>91926</v>
      </c>
      <c r="B2699" s="377" t="str">
        <f>ORÇAMENTO!C514</f>
        <v>15.05.30</v>
      </c>
      <c r="C2699" s="1004" t="str">
        <f>ORÇAMENTO!D514</f>
        <v>CABO DE COBRE FLEXÍVEL ISOLADO, 2,5 MM², ANTI-CHAMA 450/750 V, PARA CIRCUITOS TERMINAIS - FORNECIMENTO E INSTALAÇÃO. AF_12/2015</v>
      </c>
      <c r="D2699" s="1004"/>
      <c r="E2699" s="1004"/>
      <c r="F2699" s="1004"/>
      <c r="G2699" s="377" t="str">
        <f>ORÇAMENTO!E514</f>
        <v>M</v>
      </c>
      <c r="H2699" s="380">
        <f>SUM(H2700:H2701)</f>
        <v>6266.7839999999997</v>
      </c>
      <c r="I2699" s="379"/>
      <c r="J2699" s="380"/>
      <c r="K2699" s="379"/>
      <c r="L2699" s="380"/>
      <c r="M2699" s="379"/>
      <c r="N2699" s="380"/>
      <c r="O2699" s="379"/>
    </row>
    <row r="2700" spans="1:15" s="122" customFormat="1" ht="12.75" customHeight="1">
      <c r="A2700" s="337"/>
      <c r="B2700" s="337"/>
      <c r="C2700" s="1062" t="s">
        <v>2117</v>
      </c>
      <c r="D2700" s="1062"/>
      <c r="E2700" s="1062"/>
      <c r="F2700" s="1062"/>
      <c r="G2700" s="389" t="s">
        <v>246</v>
      </c>
      <c r="H2700" s="609">
        <f>4838.72*1.2</f>
        <v>5806.4639999999999</v>
      </c>
      <c r="I2700" s="582"/>
      <c r="J2700" s="582"/>
      <c r="K2700" s="583"/>
      <c r="L2700" s="583"/>
      <c r="M2700" s="583"/>
      <c r="N2700" s="589"/>
      <c r="O2700" s="589"/>
    </row>
    <row r="2701" spans="1:15" s="122" customFormat="1" ht="12.75" customHeight="1">
      <c r="A2701" s="337"/>
      <c r="B2701" s="337"/>
      <c r="C2701" s="1062" t="s">
        <v>2160</v>
      </c>
      <c r="D2701" s="1062"/>
      <c r="E2701" s="1062"/>
      <c r="F2701" s="1062"/>
      <c r="G2701" s="389" t="s">
        <v>246</v>
      </c>
      <c r="H2701" s="609">
        <f>383.6*1.2</f>
        <v>460.32</v>
      </c>
      <c r="I2701" s="582"/>
      <c r="J2701" s="582"/>
      <c r="K2701" s="583"/>
      <c r="L2701" s="583"/>
      <c r="M2701" s="583"/>
      <c r="N2701" s="589"/>
      <c r="O2701" s="589"/>
    </row>
    <row r="2702" spans="1:15" ht="42.75" customHeight="1">
      <c r="A2702" s="377">
        <f>ORÇAMENTO!A515</f>
        <v>91928</v>
      </c>
      <c r="B2702" s="377" t="str">
        <f>ORÇAMENTO!C515</f>
        <v>15.05.31</v>
      </c>
      <c r="C2702" s="1071" t="str">
        <f>ORÇAMENTO!D515</f>
        <v>CABO DE COBRE FLEXÍVEL ISOLADO, 4 MM², ANTI-CHAMA 450/750 V, PARA CIRCUITOS TERMINAIS - FORNECIMENTO E INSTALAÇÃO. AF_12/2015</v>
      </c>
      <c r="D2702" s="1071"/>
      <c r="E2702" s="1071"/>
      <c r="F2702" s="1071"/>
      <c r="G2702" s="377" t="str">
        <f>ORÇAMENTO!E515</f>
        <v>M</v>
      </c>
      <c r="H2702" s="380">
        <f>H2703</f>
        <v>82.44</v>
      </c>
      <c r="I2702" s="379"/>
      <c r="J2702" s="380"/>
      <c r="K2702" s="379"/>
      <c r="L2702" s="380"/>
      <c r="M2702" s="379"/>
      <c r="N2702" s="380"/>
      <c r="O2702" s="379"/>
    </row>
    <row r="2703" spans="1:15" s="122" customFormat="1" ht="12.75" customHeight="1">
      <c r="A2703" s="337"/>
      <c r="B2703" s="337"/>
      <c r="C2703" s="1062" t="s">
        <v>2117</v>
      </c>
      <c r="D2703" s="1062"/>
      <c r="E2703" s="1062"/>
      <c r="F2703" s="1062"/>
      <c r="G2703" s="389" t="s">
        <v>246</v>
      </c>
      <c r="H2703" s="609">
        <f>68.7*1.2</f>
        <v>82.44</v>
      </c>
      <c r="I2703" s="582"/>
      <c r="J2703" s="582"/>
      <c r="K2703" s="583"/>
      <c r="L2703" s="583"/>
      <c r="M2703" s="583"/>
      <c r="N2703" s="589"/>
      <c r="O2703" s="589"/>
    </row>
    <row r="2704" spans="1:15" ht="33" customHeight="1">
      <c r="A2704" s="377">
        <f>ORÇAMENTO!A516</f>
        <v>3811</v>
      </c>
      <c r="B2704" s="377" t="str">
        <f>ORÇAMENTO!C516</f>
        <v>15.05.32</v>
      </c>
      <c r="C2704" s="1071" t="str">
        <f>ORÇAMENTO!D516</f>
        <v>CANALETA PLÁSTICA 25MM X 25MM, SCHNEIDER OU SIMILAR</v>
      </c>
      <c r="D2704" s="1071"/>
      <c r="E2704" s="1071"/>
      <c r="F2704" s="1071"/>
      <c r="G2704" s="377" t="str">
        <f>ORÇAMENTO!E516</f>
        <v>M</v>
      </c>
      <c r="H2704" s="380">
        <f>H2705</f>
        <v>14.399999999999999</v>
      </c>
      <c r="I2704" s="379"/>
      <c r="J2704" s="380"/>
      <c r="K2704" s="379"/>
      <c r="L2704" s="380"/>
      <c r="M2704" s="379"/>
      <c r="N2704" s="380"/>
      <c r="O2704" s="379"/>
    </row>
    <row r="2705" spans="1:15" s="122" customFormat="1" ht="12.75" customHeight="1">
      <c r="A2705" s="337"/>
      <c r="B2705" s="337"/>
      <c r="C2705" s="1062" t="s">
        <v>2117</v>
      </c>
      <c r="D2705" s="1062"/>
      <c r="E2705" s="1062"/>
      <c r="F2705" s="1062"/>
      <c r="G2705" s="389" t="s">
        <v>246</v>
      </c>
      <c r="H2705" s="609">
        <f>12*1.2</f>
        <v>14.399999999999999</v>
      </c>
      <c r="I2705" s="582"/>
      <c r="J2705" s="582"/>
      <c r="K2705" s="583"/>
      <c r="L2705" s="583"/>
      <c r="M2705" s="583"/>
      <c r="N2705" s="589"/>
      <c r="O2705" s="589"/>
    </row>
    <row r="2706" spans="1:15" s="122" customFormat="1" ht="36.75" customHeight="1">
      <c r="A2706" s="377">
        <f>ORÇAMENTO!A517</f>
        <v>12022</v>
      </c>
      <c r="B2706" s="377" t="str">
        <f>ORÇAMENTO!C517</f>
        <v>15.05.33</v>
      </c>
      <c r="C2706" s="1047" t="str">
        <f>ORÇAMENTO!D517</f>
        <v>LUMINÁRIA DE EMBUTIR ABERTA PARA LÂMPADA FLUORESCENTE 32/40W OU TUBO LED 2 X 18/20 W (TECNOLUX REF.FLE-8157/232 OU SIMILAR), COMPLETA, COM LAMPADA TUBO LED - REV 01</v>
      </c>
      <c r="D2706" s="1047"/>
      <c r="E2706" s="1047"/>
      <c r="F2706" s="1047"/>
      <c r="G2706" s="377" t="str">
        <f>ORÇAMENTO!E517</f>
        <v xml:space="preserve">UN </v>
      </c>
      <c r="H2706" s="380">
        <f>H2707</f>
        <v>86</v>
      </c>
      <c r="I2706" s="379"/>
      <c r="J2706" s="380"/>
      <c r="K2706" s="379"/>
      <c r="L2706" s="380"/>
      <c r="M2706" s="379"/>
      <c r="N2706" s="380"/>
      <c r="O2706" s="379"/>
    </row>
    <row r="2707" spans="1:15" s="122" customFormat="1" ht="12.75" customHeight="1">
      <c r="A2707" s="337"/>
      <c r="B2707" s="337"/>
      <c r="C2707" s="1062" t="s">
        <v>2117</v>
      </c>
      <c r="D2707" s="1062"/>
      <c r="E2707" s="1062"/>
      <c r="F2707" s="1062"/>
      <c r="G2707" s="389" t="s">
        <v>55</v>
      </c>
      <c r="H2707" s="609">
        <v>86</v>
      </c>
      <c r="I2707" s="582"/>
      <c r="J2707" s="582"/>
      <c r="K2707" s="583"/>
      <c r="L2707" s="583"/>
      <c r="M2707" s="583"/>
      <c r="N2707" s="589"/>
      <c r="O2707" s="589"/>
    </row>
    <row r="2708" spans="1:15" s="122" customFormat="1" ht="38.25" customHeight="1">
      <c r="A2708" s="377">
        <f>ORÇAMENTO!A518</f>
        <v>12021</v>
      </c>
      <c r="B2708" s="377" t="str">
        <f>ORÇAMENTO!C518</f>
        <v>15.05.34</v>
      </c>
      <c r="C2708" s="1047" t="str">
        <f>ORÇAMENTO!D518</f>
        <v>LUMINÁRIA DE EMBUTIR ABERTA PARA LÂMPADA FLUORESCENTE OU TUBO LED 2 X 18/20 W (TECNOLUX REF.FLE-8157/232 OU SIMILAR), COMPLETA, COM LAMPADA TUBO LED</v>
      </c>
      <c r="D2708" s="1047"/>
      <c r="E2708" s="1047"/>
      <c r="F2708" s="1047"/>
      <c r="G2708" s="377" t="str">
        <f>ORÇAMENTO!E518</f>
        <v xml:space="preserve">UN </v>
      </c>
      <c r="H2708" s="380">
        <f>H2709</f>
        <v>70</v>
      </c>
      <c r="I2708" s="379"/>
      <c r="J2708" s="380"/>
      <c r="K2708" s="379"/>
      <c r="L2708" s="380"/>
      <c r="M2708" s="379"/>
      <c r="N2708" s="380"/>
      <c r="O2708" s="379"/>
    </row>
    <row r="2709" spans="1:15" s="122" customFormat="1" ht="12.75" customHeight="1">
      <c r="A2709" s="337"/>
      <c r="B2709" s="337"/>
      <c r="C2709" s="1062" t="s">
        <v>2117</v>
      </c>
      <c r="D2709" s="1062"/>
      <c r="E2709" s="1062"/>
      <c r="F2709" s="1062"/>
      <c r="G2709" s="389" t="s">
        <v>55</v>
      </c>
      <c r="H2709" s="609">
        <v>70</v>
      </c>
      <c r="I2709" s="582"/>
      <c r="J2709" s="582"/>
      <c r="K2709" s="583"/>
      <c r="L2709" s="583"/>
      <c r="M2709" s="583"/>
      <c r="N2709" s="589"/>
      <c r="O2709" s="589"/>
    </row>
    <row r="2710" spans="1:15" s="122" customFormat="1" ht="24.75" customHeight="1">
      <c r="A2710" s="377">
        <f>ORÇAMENTO!A519</f>
        <v>11148</v>
      </c>
      <c r="B2710" s="377" t="str">
        <f>ORÇAMENTO!C519</f>
        <v>15.05.35</v>
      </c>
      <c r="C2710" s="1047" t="str">
        <f>ORÇAMENTO!D519</f>
        <v>EXAUSTOR PARA BANHEIRO, BIVOLT, REF.: C 80 A, DA VENTOKIT OU SIMILAR - FORNECIMENTO E INSTALAÇÃO</v>
      </c>
      <c r="D2710" s="1047"/>
      <c r="E2710" s="1047"/>
      <c r="F2710" s="1047"/>
      <c r="G2710" s="377" t="str">
        <f>ORÇAMENTO!E519</f>
        <v xml:space="preserve">UN </v>
      </c>
      <c r="H2710" s="380">
        <f>SUM(H2711:H2712)</f>
        <v>2</v>
      </c>
      <c r="I2710" s="379"/>
      <c r="J2710" s="380"/>
      <c r="K2710" s="379"/>
      <c r="L2710" s="380"/>
      <c r="M2710" s="379"/>
      <c r="N2710" s="380"/>
      <c r="O2710" s="379"/>
    </row>
    <row r="2711" spans="1:15" s="122" customFormat="1" ht="12.75" customHeight="1">
      <c r="A2711" s="337"/>
      <c r="B2711" s="337"/>
      <c r="C2711" s="1062" t="s">
        <v>2161</v>
      </c>
      <c r="D2711" s="1062"/>
      <c r="E2711" s="1062"/>
      <c r="F2711" s="1062"/>
      <c r="G2711" s="389" t="s">
        <v>55</v>
      </c>
      <c r="H2711" s="609">
        <v>1</v>
      </c>
      <c r="I2711" s="582"/>
      <c r="J2711" s="582"/>
      <c r="K2711" s="583"/>
      <c r="L2711" s="583"/>
      <c r="M2711" s="583"/>
      <c r="N2711" s="589"/>
      <c r="O2711" s="589"/>
    </row>
    <row r="2712" spans="1:15" s="122" customFormat="1" ht="12.75" customHeight="1">
      <c r="A2712" s="337"/>
      <c r="B2712" s="337"/>
      <c r="C2712" s="1062" t="s">
        <v>2162</v>
      </c>
      <c r="D2712" s="1062"/>
      <c r="E2712" s="1062"/>
      <c r="F2712" s="1062"/>
      <c r="G2712" s="389" t="s">
        <v>55</v>
      </c>
      <c r="H2712" s="609">
        <v>1</v>
      </c>
      <c r="I2712" s="582"/>
      <c r="J2712" s="582"/>
      <c r="K2712" s="583"/>
      <c r="L2712" s="583"/>
      <c r="M2712" s="583"/>
      <c r="N2712" s="589"/>
      <c r="O2712" s="589"/>
    </row>
    <row r="2713" spans="1:15" ht="12.75" customHeight="1">
      <c r="A2713" s="373" t="s">
        <v>11</v>
      </c>
      <c r="B2713" s="375" t="s">
        <v>13</v>
      </c>
      <c r="C2713" s="1007" t="s">
        <v>1443</v>
      </c>
      <c r="D2713" s="1007"/>
      <c r="E2713" s="1007"/>
      <c r="F2713" s="1007"/>
      <c r="G2713" s="375" t="s">
        <v>15</v>
      </c>
      <c r="H2713" s="375" t="s">
        <v>1444</v>
      </c>
      <c r="I2713" s="375" t="s">
        <v>1445</v>
      </c>
      <c r="J2713" s="375" t="s">
        <v>1446</v>
      </c>
      <c r="K2713" s="375" t="s">
        <v>1447</v>
      </c>
      <c r="L2713" s="375" t="s">
        <v>1448</v>
      </c>
      <c r="M2713" s="375" t="s">
        <v>1457</v>
      </c>
      <c r="N2713" s="375" t="s">
        <v>1450</v>
      </c>
      <c r="O2713" s="375" t="s">
        <v>1451</v>
      </c>
    </row>
    <row r="2714" spans="1:15">
      <c r="A2714" s="376"/>
      <c r="B2714" s="376" t="str">
        <f>ORÇAMENTO!C520</f>
        <v>15.06</v>
      </c>
      <c r="C2714" s="1075" t="str">
        <f>ORÇAMENTO!D520</f>
        <v>EQUIPAMENTOS DE ILUMINAÇÃO - ÁREA EXTERNA</v>
      </c>
      <c r="D2714" s="1075"/>
      <c r="E2714" s="1075"/>
      <c r="F2714" s="1075"/>
      <c r="G2714" s="1072"/>
      <c r="H2714" s="1072"/>
      <c r="I2714" s="1072"/>
      <c r="J2714" s="1072"/>
      <c r="K2714" s="1072"/>
      <c r="L2714" s="1072"/>
      <c r="M2714" s="1072"/>
      <c r="N2714" s="1072"/>
      <c r="O2714" s="1072"/>
    </row>
    <row r="2715" spans="1:15" ht="32.450000000000003" customHeight="1">
      <c r="A2715" s="377">
        <f>ORÇAMENTO!A521</f>
        <v>97607</v>
      </c>
      <c r="B2715" s="377" t="str">
        <f>ORÇAMENTO!C521</f>
        <v>15.06.01</v>
      </c>
      <c r="C2715" s="1071" t="str">
        <f>ORÇAMENTO!D521</f>
        <v>LUMINÁRIA ARANDELA TIPO TARTARUGA PARA 1 LÂMPADA LED - FORNECIMENTO E INSTALAÇÃO. AF_11/2017</v>
      </c>
      <c r="D2715" s="1071"/>
      <c r="E2715" s="1071"/>
      <c r="F2715" s="1071"/>
      <c r="G2715" s="377" t="str">
        <f>ORÇAMENTO!E521</f>
        <v xml:space="preserve">UN </v>
      </c>
      <c r="H2715" s="383">
        <f>SUM(H2716:H2716)</f>
        <v>18</v>
      </c>
      <c r="I2715" s="379"/>
      <c r="J2715" s="380"/>
      <c r="K2715" s="379"/>
      <c r="L2715" s="380"/>
      <c r="M2715" s="379"/>
      <c r="N2715" s="380"/>
      <c r="O2715" s="379"/>
    </row>
    <row r="2716" spans="1:15" s="122" customFormat="1" ht="12.75" customHeight="1">
      <c r="A2716" s="337"/>
      <c r="B2716" s="337"/>
      <c r="C2716" s="1062" t="s">
        <v>2117</v>
      </c>
      <c r="D2716" s="1062"/>
      <c r="E2716" s="1062"/>
      <c r="F2716" s="1062"/>
      <c r="G2716" s="389" t="s">
        <v>55</v>
      </c>
      <c r="H2716" s="450">
        <v>18</v>
      </c>
      <c r="I2716" s="582"/>
      <c r="J2716" s="582"/>
      <c r="K2716" s="583"/>
      <c r="L2716" s="583"/>
      <c r="M2716" s="583"/>
      <c r="N2716" s="589"/>
      <c r="O2716" s="589"/>
    </row>
    <row r="2717" spans="1:15" ht="25.5" customHeight="1">
      <c r="A2717" s="377">
        <f>ORÇAMENTO!A522</f>
        <v>13159</v>
      </c>
      <c r="B2717" s="377" t="str">
        <f>ORÇAMENTO!C522</f>
        <v>15.06.02</v>
      </c>
      <c r="C2717" s="1003" t="str">
        <f>ORÇAMENTO!D522</f>
        <v>POSTE BALIZADOR PARA JARDIM, EM ALUMÍNIO PRETO, + LED 12 W BRANCO FRIO ST1301 ( STARLUMEN OU SIMILAR)</v>
      </c>
      <c r="D2717" s="1003"/>
      <c r="E2717" s="1003"/>
      <c r="F2717" s="1003"/>
      <c r="G2717" s="377" t="str">
        <f>ORÇAMENTO!E522</f>
        <v xml:space="preserve">UN </v>
      </c>
      <c r="H2717" s="383">
        <f>SUM(H2718:H2718)</f>
        <v>20</v>
      </c>
      <c r="I2717" s="379"/>
      <c r="J2717" s="380"/>
      <c r="K2717" s="379"/>
      <c r="L2717" s="380"/>
      <c r="M2717" s="379"/>
      <c r="N2717" s="380"/>
      <c r="O2717" s="379"/>
    </row>
    <row r="2718" spans="1:15" s="122" customFormat="1" ht="13.15" customHeight="1">
      <c r="A2718" s="337"/>
      <c r="B2718" s="337"/>
      <c r="C2718" s="1062" t="s">
        <v>2117</v>
      </c>
      <c r="D2718" s="1062"/>
      <c r="E2718" s="1062"/>
      <c r="F2718" s="1062"/>
      <c r="G2718" s="389" t="s">
        <v>55</v>
      </c>
      <c r="H2718" s="584">
        <v>20</v>
      </c>
      <c r="I2718" s="582"/>
      <c r="J2718" s="582"/>
      <c r="K2718" s="583"/>
      <c r="L2718" s="583"/>
      <c r="M2718" s="583"/>
      <c r="N2718" s="589"/>
      <c r="O2718" s="589"/>
    </row>
    <row r="2719" spans="1:15" ht="36.75" customHeight="1">
      <c r="A2719" s="377">
        <f>ORÇAMENTO!A523</f>
        <v>12870</v>
      </c>
      <c r="B2719" s="377" t="str">
        <f>ORÇAMENTO!C523</f>
        <v>15.06.03</v>
      </c>
      <c r="C2719" s="1071" t="str">
        <f>ORÇAMENTO!D523</f>
        <v>REFLETOR TR LED, CORPO EM ALUMINIO, VIDRO TEMPERADO, POTENCIA 30W, BIVOLT, TEMP.COR 3000K/6000K, IP-65, DA TASCHIBRA OU SIMILAR</v>
      </c>
      <c r="D2719" s="1071"/>
      <c r="E2719" s="1071"/>
      <c r="F2719" s="1071"/>
      <c r="G2719" s="377" t="str">
        <f>ORÇAMENTO!E523</f>
        <v xml:space="preserve">UN </v>
      </c>
      <c r="H2719" s="383">
        <f>SUM(H2720:H2721)</f>
        <v>8</v>
      </c>
      <c r="I2719" s="379"/>
      <c r="J2719" s="380"/>
      <c r="K2719" s="379"/>
      <c r="L2719" s="380"/>
      <c r="M2719" s="379"/>
      <c r="N2719" s="380"/>
      <c r="O2719" s="379"/>
    </row>
    <row r="2720" spans="1:15" s="122" customFormat="1" ht="13.15" customHeight="1">
      <c r="A2720" s="337"/>
      <c r="B2720" s="337"/>
      <c r="C2720" s="1062" t="s">
        <v>2163</v>
      </c>
      <c r="D2720" s="1062"/>
      <c r="E2720" s="1062"/>
      <c r="F2720" s="1062"/>
      <c r="G2720" s="389" t="s">
        <v>55</v>
      </c>
      <c r="H2720" s="584">
        <v>2</v>
      </c>
      <c r="I2720" s="582"/>
      <c r="J2720" s="582"/>
      <c r="K2720" s="583"/>
      <c r="L2720" s="583"/>
      <c r="M2720" s="583"/>
      <c r="N2720" s="589"/>
      <c r="O2720" s="589"/>
    </row>
    <row r="2721" spans="1:15" s="122" customFormat="1" ht="13.15" customHeight="1">
      <c r="A2721" s="337"/>
      <c r="B2721" s="337"/>
      <c r="C2721" s="1062" t="s">
        <v>2164</v>
      </c>
      <c r="D2721" s="1062"/>
      <c r="E2721" s="1062"/>
      <c r="F2721" s="1062"/>
      <c r="G2721" s="389" t="s">
        <v>55</v>
      </c>
      <c r="H2721" s="584">
        <v>6</v>
      </c>
      <c r="I2721" s="582"/>
      <c r="J2721" s="582"/>
      <c r="K2721" s="583"/>
      <c r="L2721" s="583"/>
      <c r="M2721" s="583"/>
      <c r="N2721" s="589"/>
      <c r="O2721" s="589"/>
    </row>
    <row r="2722" spans="1:15" ht="63.75" customHeight="1">
      <c r="A2722" s="377">
        <f>ORÇAMENTO!A524</f>
        <v>805</v>
      </c>
      <c r="B2722" s="377" t="str">
        <f>ORÇAMENTO!C524</f>
        <v>15.06.04</v>
      </c>
      <c r="C2722" s="1071" t="str">
        <f>ORÇAMENTO!D524</f>
        <v>SINALIZADOR DUPLO P/ ENTRADA VEÍCULOS (TECNOLUX REF. TW75 OU SIMILAR)</v>
      </c>
      <c r="D2722" s="1071"/>
      <c r="E2722" s="1071"/>
      <c r="F2722" s="1071"/>
      <c r="G2722" s="377" t="str">
        <f>ORÇAMENTO!E523</f>
        <v xml:space="preserve">UN </v>
      </c>
      <c r="H2722" s="383">
        <f>H2723</f>
        <v>2</v>
      </c>
      <c r="I2722" s="379"/>
      <c r="J2722" s="380"/>
      <c r="K2722" s="379"/>
      <c r="L2722" s="380"/>
      <c r="M2722" s="379"/>
      <c r="N2722" s="380"/>
      <c r="O2722" s="379"/>
    </row>
    <row r="2723" spans="1:15" s="122" customFormat="1" ht="12.75" customHeight="1">
      <c r="A2723" s="337"/>
      <c r="B2723" s="337"/>
      <c r="C2723" s="1062" t="s">
        <v>2165</v>
      </c>
      <c r="D2723" s="1062"/>
      <c r="E2723" s="1062"/>
      <c r="F2723" s="1062"/>
      <c r="G2723" s="389" t="s">
        <v>55</v>
      </c>
      <c r="H2723" s="584">
        <v>2</v>
      </c>
      <c r="I2723" s="582"/>
      <c r="J2723" s="582"/>
      <c r="K2723" s="583"/>
      <c r="L2723" s="583"/>
      <c r="M2723" s="583"/>
      <c r="N2723" s="589"/>
      <c r="O2723" s="589"/>
    </row>
    <row r="2724" spans="1:15" ht="59.25" customHeight="1">
      <c r="A2724" s="377">
        <f>ORÇAMENTO!A525</f>
        <v>8927</v>
      </c>
      <c r="B2724" s="377" t="str">
        <f>ORÇAMENTO!C525</f>
        <v>15.06.05</v>
      </c>
      <c r="C2724" s="1047" t="str">
        <f>ORÇAMENTO!D525</f>
        <v>POSTE RETO TELECÔNICO FLANGEADO, GALVANIZADO, REF. PT - 100B/80L, H= 8 METROS, DA METAL LIGHT OU SIMILAR, COM 03 PROJETORES REF.: IE-532/2 DA METAL LIGHT OU SIMILAR, INCLUSIVE LÂMPADA E REATOR</v>
      </c>
      <c r="D2724" s="1047"/>
      <c r="E2724" s="1047"/>
      <c r="F2724" s="1047"/>
      <c r="G2724" s="377" t="str">
        <f>ORÇAMENTO!E525</f>
        <v xml:space="preserve">UN </v>
      </c>
      <c r="H2724" s="383">
        <f>H2725</f>
        <v>4</v>
      </c>
      <c r="I2724" s="379"/>
      <c r="J2724" s="380"/>
      <c r="K2724" s="379"/>
      <c r="L2724" s="380"/>
      <c r="M2724" s="379"/>
      <c r="N2724" s="380"/>
      <c r="O2724" s="379"/>
    </row>
    <row r="2725" spans="1:15" s="122" customFormat="1" ht="15.75" customHeight="1">
      <c r="A2725" s="337"/>
      <c r="B2725" s="337"/>
      <c r="C2725" s="1062" t="s">
        <v>2166</v>
      </c>
      <c r="D2725" s="1062"/>
      <c r="E2725" s="1062"/>
      <c r="F2725" s="1062"/>
      <c r="G2725" s="389" t="s">
        <v>55</v>
      </c>
      <c r="H2725" s="584">
        <v>4</v>
      </c>
      <c r="I2725" s="582"/>
      <c r="J2725" s="582"/>
      <c r="K2725" s="583"/>
      <c r="L2725" s="583"/>
      <c r="M2725" s="583"/>
      <c r="N2725" s="589"/>
      <c r="O2725" s="589"/>
    </row>
    <row r="2726" spans="1:15" ht="31.5" customHeight="1">
      <c r="A2726" s="377">
        <f>ORÇAMENTO!A526</f>
        <v>8896</v>
      </c>
      <c r="B2726" s="377" t="str">
        <f>ORÇAMENTO!C526</f>
        <v>15.06.06</v>
      </c>
      <c r="C2726" s="1047" t="str">
        <f>ORÇAMENTO!D526</f>
        <v>CAIXA DE PASSAGEM PVC 15X15X8CM P/ELETRICA, TIPO AQUATIC OU SIMILAR</v>
      </c>
      <c r="D2726" s="1047"/>
      <c r="E2726" s="1047"/>
      <c r="F2726" s="1047"/>
      <c r="G2726" s="377" t="str">
        <f>ORÇAMENTO!E526</f>
        <v xml:space="preserve">UN </v>
      </c>
      <c r="H2726" s="383">
        <f>SUM(H2727:H2727)</f>
        <v>10</v>
      </c>
      <c r="I2726" s="379"/>
      <c r="J2726" s="380"/>
      <c r="K2726" s="379"/>
      <c r="L2726" s="380"/>
      <c r="M2726" s="379"/>
      <c r="N2726" s="380"/>
      <c r="O2726" s="379"/>
    </row>
    <row r="2727" spans="1:15" s="122" customFormat="1" ht="12.75" customHeight="1">
      <c r="A2727" s="337"/>
      <c r="B2727" s="337"/>
      <c r="C2727" s="1062" t="s">
        <v>2117</v>
      </c>
      <c r="D2727" s="1062"/>
      <c r="E2727" s="1062"/>
      <c r="F2727" s="1062"/>
      <c r="G2727" s="389" t="s">
        <v>55</v>
      </c>
      <c r="H2727" s="450">
        <v>10</v>
      </c>
      <c r="I2727" s="582"/>
      <c r="J2727" s="582"/>
      <c r="K2727" s="583"/>
      <c r="L2727" s="583"/>
      <c r="M2727" s="583"/>
      <c r="N2727" s="589"/>
      <c r="O2727" s="589"/>
    </row>
    <row r="2728" spans="1:15" ht="28.5" customHeight="1">
      <c r="A2728" s="377">
        <f>ORÇAMENTO!A527</f>
        <v>4404</v>
      </c>
      <c r="B2728" s="377" t="str">
        <f>ORÇAMENTO!C527</f>
        <v>15.06.07</v>
      </c>
      <c r="C2728" s="1003" t="str">
        <f>ORÇAMENTO!D527</f>
        <v xml:space="preserve">CAIXA DE PASSAGEM EM ALVENARIA DE TIJOLOS MACIÇOS ESP. = 0,12M, DIM. INT. = 0,30 X 0,30 X 0,50M </v>
      </c>
      <c r="D2728" s="1003"/>
      <c r="E2728" s="1003"/>
      <c r="F2728" s="1003"/>
      <c r="G2728" s="377" t="str">
        <f>ORÇAMENTO!E527</f>
        <v xml:space="preserve">UN </v>
      </c>
      <c r="H2728" s="383">
        <f>SUM(H2729:H2729)</f>
        <v>8</v>
      </c>
      <c r="I2728" s="379"/>
      <c r="J2728" s="380"/>
      <c r="K2728" s="379"/>
      <c r="L2728" s="380"/>
      <c r="M2728" s="379"/>
      <c r="N2728" s="380"/>
      <c r="O2728" s="379"/>
    </row>
    <row r="2729" spans="1:15" s="122" customFormat="1" ht="12.75" customHeight="1">
      <c r="A2729" s="337"/>
      <c r="B2729" s="337"/>
      <c r="C2729" s="1062" t="s">
        <v>2167</v>
      </c>
      <c r="D2729" s="1062"/>
      <c r="E2729" s="1062"/>
      <c r="F2729" s="1062"/>
      <c r="G2729" s="389" t="s">
        <v>55</v>
      </c>
      <c r="H2729" s="450">
        <v>8</v>
      </c>
      <c r="I2729" s="582"/>
      <c r="J2729" s="582"/>
      <c r="K2729" s="583"/>
      <c r="L2729" s="583"/>
      <c r="M2729" s="583"/>
      <c r="N2729" s="589"/>
      <c r="O2729" s="589"/>
    </row>
    <row r="2730" spans="1:15" ht="12.75" customHeight="1">
      <c r="A2730" s="373" t="s">
        <v>11</v>
      </c>
      <c r="B2730" s="375" t="s">
        <v>13</v>
      </c>
      <c r="C2730" s="1007" t="s">
        <v>1443</v>
      </c>
      <c r="D2730" s="1007"/>
      <c r="E2730" s="1007"/>
      <c r="F2730" s="1007"/>
      <c r="G2730" s="375" t="s">
        <v>15</v>
      </c>
      <c r="H2730" s="375" t="s">
        <v>1444</v>
      </c>
      <c r="I2730" s="375" t="s">
        <v>1445</v>
      </c>
      <c r="J2730" s="375" t="s">
        <v>1446</v>
      </c>
      <c r="K2730" s="375" t="s">
        <v>1447</v>
      </c>
      <c r="L2730" s="375" t="s">
        <v>1448</v>
      </c>
      <c r="M2730" s="375" t="s">
        <v>1457</v>
      </c>
      <c r="N2730" s="375" t="s">
        <v>1450</v>
      </c>
      <c r="O2730" s="375" t="s">
        <v>1451</v>
      </c>
    </row>
    <row r="2731" spans="1:15">
      <c r="A2731" s="376"/>
      <c r="B2731" s="376" t="str">
        <f>ORÇAMENTO!C528</f>
        <v>15.07</v>
      </c>
      <c r="C2731" s="1075" t="str">
        <f>ORÇAMENTO!D528</f>
        <v>CABEAMENTO ESTRUTURADO</v>
      </c>
      <c r="D2731" s="1075"/>
      <c r="E2731" s="1075"/>
      <c r="F2731" s="1075"/>
      <c r="G2731" s="472"/>
      <c r="H2731" s="472"/>
      <c r="I2731" s="472"/>
      <c r="J2731" s="472"/>
      <c r="K2731" s="472"/>
      <c r="L2731" s="472"/>
      <c r="M2731" s="472"/>
      <c r="N2731" s="472"/>
      <c r="O2731" s="472"/>
    </row>
    <row r="2732" spans="1:15" ht="32.25" customHeight="1">
      <c r="A2732" s="377">
        <f>ORÇAMENTO!A529</f>
        <v>8362</v>
      </c>
      <c r="B2732" s="377" t="str">
        <f>ORÇAMENTO!C529</f>
        <v>15.07.01</v>
      </c>
      <c r="C2732" s="1047" t="str">
        <f>ORÇAMENTO!D529</f>
        <v>FORNECIMENTO E MONTAGEM DE GUIA DE CABOS HORIZONTAIS FECHADO DE CORPO DE AÇO SAE 1020, PROF=40MM</v>
      </c>
      <c r="D2732" s="1047"/>
      <c r="E2732" s="1047"/>
      <c r="F2732" s="1047"/>
      <c r="G2732" s="377" t="str">
        <f>ORÇAMENTO!E529</f>
        <v xml:space="preserve">UN </v>
      </c>
      <c r="H2732" s="377">
        <f>H2733</f>
        <v>16</v>
      </c>
      <c r="I2732" s="379"/>
      <c r="J2732" s="377"/>
      <c r="K2732" s="379"/>
      <c r="L2732" s="377"/>
      <c r="M2732" s="379"/>
      <c r="N2732" s="377"/>
      <c r="O2732" s="379"/>
    </row>
    <row r="2733" spans="1:15" ht="12.75" customHeight="1">
      <c r="A2733" s="342"/>
      <c r="B2733" s="342"/>
      <c r="C2733" s="1024" t="s">
        <v>2168</v>
      </c>
      <c r="D2733" s="1024"/>
      <c r="E2733" s="1024"/>
      <c r="F2733" s="1024"/>
      <c r="G2733" s="343" t="s">
        <v>96</v>
      </c>
      <c r="H2733" s="617">
        <v>16</v>
      </c>
      <c r="I2733" s="617"/>
      <c r="J2733" s="617"/>
      <c r="K2733" s="618"/>
      <c r="L2733" s="618"/>
      <c r="M2733" s="618"/>
      <c r="N2733" s="700"/>
      <c r="O2733" s="700"/>
    </row>
    <row r="2734" spans="1:15" ht="25.5" customHeight="1">
      <c r="A2734" s="377">
        <f>ORÇAMENTO!A530</f>
        <v>11417</v>
      </c>
      <c r="B2734" s="377" t="str">
        <f>ORÇAMENTO!C530</f>
        <v>15.07.02</v>
      </c>
      <c r="C2734" s="1047" t="str">
        <f>ORÇAMENTO!D530</f>
        <v>BANDEJA PARA RACK 19", DESLIZANTE, PERFURADA, 400MM DE PROFUNDIDADE</v>
      </c>
      <c r="D2734" s="1047"/>
      <c r="E2734" s="1047"/>
      <c r="F2734" s="1047"/>
      <c r="G2734" s="377" t="str">
        <f>ORÇAMENTO!E530</f>
        <v xml:space="preserve">UN </v>
      </c>
      <c r="H2734" s="377">
        <f>H2735</f>
        <v>4</v>
      </c>
      <c r="I2734" s="379"/>
      <c r="J2734" s="377"/>
      <c r="K2734" s="379"/>
      <c r="L2734" s="377"/>
      <c r="M2734" s="379"/>
      <c r="N2734" s="377"/>
      <c r="O2734" s="379"/>
    </row>
    <row r="2735" spans="1:15" ht="12.75" customHeight="1">
      <c r="A2735" s="342"/>
      <c r="B2735" s="342"/>
      <c r="C2735" s="1073" t="s">
        <v>2168</v>
      </c>
      <c r="D2735" s="1073"/>
      <c r="E2735" s="1073"/>
      <c r="F2735" s="1073"/>
      <c r="G2735" s="343" t="s">
        <v>55</v>
      </c>
      <c r="H2735" s="617">
        <v>4</v>
      </c>
      <c r="I2735" s="617"/>
      <c r="J2735" s="617"/>
      <c r="K2735" s="618"/>
      <c r="L2735" s="618"/>
      <c r="M2735" s="618"/>
      <c r="N2735" s="700"/>
      <c r="O2735" s="700"/>
    </row>
    <row r="2736" spans="1:15" ht="27" customHeight="1">
      <c r="A2736" s="377">
        <f>ORÇAMENTO!A531</f>
        <v>10268</v>
      </c>
      <c r="B2736" s="377" t="str">
        <f>ORÇAMENTO!C531</f>
        <v>15.07.03</v>
      </c>
      <c r="C2736" s="1047" t="str">
        <f>ORÇAMENTO!D531</f>
        <v>FORNECIMENTO E INSTALAÇÃO DE PATCH CORDS CAT.6 C/2,50M - REV 02</v>
      </c>
      <c r="D2736" s="1047"/>
      <c r="E2736" s="1047"/>
      <c r="F2736" s="1047"/>
      <c r="G2736" s="377" t="str">
        <f>ORÇAMENTO!E531</f>
        <v xml:space="preserve">UN </v>
      </c>
      <c r="H2736" s="377">
        <f>H2737</f>
        <v>100</v>
      </c>
      <c r="I2736" s="379"/>
      <c r="J2736" s="377"/>
      <c r="K2736" s="379"/>
      <c r="L2736" s="377"/>
      <c r="M2736" s="379"/>
      <c r="N2736" s="377"/>
      <c r="O2736" s="379"/>
    </row>
    <row r="2737" spans="1:15" ht="12.75" customHeight="1">
      <c r="A2737" s="342"/>
      <c r="B2737" s="342"/>
      <c r="C2737" s="1073" t="s">
        <v>2168</v>
      </c>
      <c r="D2737" s="1073"/>
      <c r="E2737" s="1073"/>
      <c r="F2737" s="1073"/>
      <c r="G2737" s="343" t="s">
        <v>55</v>
      </c>
      <c r="H2737" s="617">
        <v>100</v>
      </c>
      <c r="I2737" s="617"/>
      <c r="J2737" s="617"/>
      <c r="K2737" s="618"/>
      <c r="L2737" s="618"/>
      <c r="M2737" s="618"/>
      <c r="N2737" s="700"/>
      <c r="O2737" s="700"/>
    </row>
    <row r="2738" spans="1:15" ht="27.75" customHeight="1">
      <c r="A2738" s="377">
        <f>ORÇAMENTO!A532</f>
        <v>11242</v>
      </c>
      <c r="B2738" s="377" t="str">
        <f>ORÇAMENTO!C532</f>
        <v>15.07.04</v>
      </c>
      <c r="C2738" s="1047" t="str">
        <f>ORÇAMENTO!D532</f>
        <v>FORNECIMENTO E INSTALAÇÃO DE CONECTOR RJ 45 MACHO CAT 6</v>
      </c>
      <c r="D2738" s="1047"/>
      <c r="E2738" s="1047"/>
      <c r="F2738" s="1047"/>
      <c r="G2738" s="377" t="str">
        <f>ORÇAMENTO!E532</f>
        <v xml:space="preserve">UN </v>
      </c>
      <c r="H2738" s="377">
        <f>H2739</f>
        <v>100</v>
      </c>
      <c r="I2738" s="379"/>
      <c r="J2738" s="377"/>
      <c r="K2738" s="379"/>
      <c r="L2738" s="377"/>
      <c r="M2738" s="379"/>
      <c r="N2738" s="377"/>
      <c r="O2738" s="379"/>
    </row>
    <row r="2739" spans="1:15" ht="12.75" customHeight="1">
      <c r="A2739" s="342"/>
      <c r="B2739" s="342"/>
      <c r="C2739" s="1073" t="s">
        <v>2168</v>
      </c>
      <c r="D2739" s="1073"/>
      <c r="E2739" s="1073"/>
      <c r="F2739" s="1073"/>
      <c r="G2739" s="343" t="s">
        <v>55</v>
      </c>
      <c r="H2739" s="617">
        <v>100</v>
      </c>
      <c r="I2739" s="617"/>
      <c r="J2739" s="617"/>
      <c r="K2739" s="618"/>
      <c r="L2739" s="618"/>
      <c r="M2739" s="618"/>
      <c r="N2739" s="700"/>
      <c r="O2739" s="700"/>
    </row>
    <row r="2740" spans="1:15" ht="30" customHeight="1">
      <c r="A2740" s="377">
        <f>ORÇAMENTO!A533</f>
        <v>706</v>
      </c>
      <c r="B2740" s="377" t="str">
        <f>ORÇAMENTO!C533</f>
        <v>15.07.05</v>
      </c>
      <c r="C2740" s="1047" t="str">
        <f>ORÇAMENTO!D533</f>
        <v>CAIXA DE PASSAGEM PARA TELEFONE, PADRÃO TELEBRÁS, 60 X 60 X 12 CM, EM CHAPA AÇO GALVANIZ.</v>
      </c>
      <c r="D2740" s="1047"/>
      <c r="E2740" s="1047"/>
      <c r="F2740" s="1047"/>
      <c r="G2740" s="377" t="str">
        <f>ORÇAMENTO!E533</f>
        <v>M</v>
      </c>
      <c r="H2740" s="377">
        <f>H2741</f>
        <v>7</v>
      </c>
      <c r="I2740" s="379"/>
      <c r="J2740" s="377"/>
      <c r="K2740" s="379"/>
      <c r="L2740" s="377"/>
      <c r="M2740" s="379"/>
      <c r="N2740" s="377"/>
      <c r="O2740" s="379"/>
    </row>
    <row r="2741" spans="1:15" ht="12.75" customHeight="1">
      <c r="A2741" s="342"/>
      <c r="B2741" s="342"/>
      <c r="C2741" s="1073" t="s">
        <v>2168</v>
      </c>
      <c r="D2741" s="1073"/>
      <c r="E2741" s="1073"/>
      <c r="F2741" s="1073"/>
      <c r="G2741" s="343" t="s">
        <v>55</v>
      </c>
      <c r="H2741" s="617">
        <v>7</v>
      </c>
      <c r="I2741" s="617"/>
      <c r="J2741" s="617"/>
      <c r="K2741" s="618"/>
      <c r="L2741" s="618"/>
      <c r="M2741" s="618"/>
      <c r="N2741" s="700"/>
      <c r="O2741" s="700"/>
    </row>
    <row r="2742" spans="1:15" ht="26.25" customHeight="1">
      <c r="A2742" s="377" t="str">
        <f>ORÇAMENTO!A534</f>
        <v>I-00049</v>
      </c>
      <c r="B2742" s="377" t="str">
        <f>ORÇAMENTO!C534</f>
        <v>15.07.06</v>
      </c>
      <c r="C2742" s="1047" t="str">
        <f>ORÇAMENTO!D534</f>
        <v xml:space="preserve">CABISTA PARA INSTALAÇÃO TELEFÔNICA </v>
      </c>
      <c r="D2742" s="1047"/>
      <c r="E2742" s="1047"/>
      <c r="F2742" s="1047"/>
      <c r="G2742" s="377" t="str">
        <f>ORÇAMENTO!E534</f>
        <v>H</v>
      </c>
      <c r="H2742" s="377">
        <f>SUM(H2743:H2743)</f>
        <v>160</v>
      </c>
      <c r="I2742" s="379"/>
      <c r="J2742" s="377"/>
      <c r="K2742" s="379"/>
      <c r="L2742" s="377"/>
      <c r="M2742" s="379"/>
      <c r="N2742" s="377"/>
      <c r="O2742" s="379"/>
    </row>
    <row r="2743" spans="1:15" ht="24" customHeight="1">
      <c r="A2743" s="342"/>
      <c r="B2743" s="342"/>
      <c r="C2743" s="1024" t="s">
        <v>2169</v>
      </c>
      <c r="D2743" s="1024"/>
      <c r="E2743" s="1024"/>
      <c r="F2743" s="1024"/>
      <c r="G2743" s="343" t="s">
        <v>40</v>
      </c>
      <c r="H2743" s="617">
        <f>2*5*8*2</f>
        <v>160</v>
      </c>
      <c r="I2743" s="617"/>
      <c r="J2743" s="617"/>
      <c r="K2743" s="618"/>
      <c r="L2743" s="618"/>
      <c r="M2743" s="618"/>
      <c r="N2743" s="700"/>
      <c r="O2743" s="700"/>
    </row>
    <row r="2744" spans="1:15" ht="12.75" customHeight="1">
      <c r="A2744" s="377">
        <f>ORÇAMENTO!A535</f>
        <v>10592</v>
      </c>
      <c r="B2744" s="377" t="str">
        <f>ORÇAMENTO!C535</f>
        <v>15.07.07</v>
      </c>
      <c r="C2744" s="1047" t="str">
        <f>ORÇAMENTO!D535</f>
        <v>ENCARGOS COMPLEMENTARES - CABISTA</v>
      </c>
      <c r="D2744" s="1047"/>
      <c r="E2744" s="1047"/>
      <c r="F2744" s="1047"/>
      <c r="G2744" s="377" t="str">
        <f>ORÇAMENTO!E535</f>
        <v>H</v>
      </c>
      <c r="H2744" s="377">
        <f>SUM(H2745:H2745)</f>
        <v>160</v>
      </c>
      <c r="I2744" s="379"/>
      <c r="J2744" s="377"/>
      <c r="K2744" s="379"/>
      <c r="L2744" s="377"/>
      <c r="M2744" s="379"/>
      <c r="N2744" s="377"/>
      <c r="O2744" s="379"/>
    </row>
    <row r="2745" spans="1:15" ht="25.5" customHeight="1">
      <c r="A2745" s="342"/>
      <c r="B2745" s="342"/>
      <c r="C2745" s="1024" t="s">
        <v>2169</v>
      </c>
      <c r="D2745" s="1024"/>
      <c r="E2745" s="1024"/>
      <c r="F2745" s="1024"/>
      <c r="G2745" s="343" t="s">
        <v>40</v>
      </c>
      <c r="H2745" s="617">
        <f>2*5*8*2</f>
        <v>160</v>
      </c>
      <c r="I2745" s="617"/>
      <c r="J2745" s="617"/>
      <c r="K2745" s="618"/>
      <c r="L2745" s="618"/>
      <c r="M2745" s="618"/>
      <c r="N2745" s="700"/>
      <c r="O2745" s="700"/>
    </row>
    <row r="2746" spans="1:15" ht="25.5" customHeight="1">
      <c r="A2746" s="377">
        <f>ORÇAMENTO!A536</f>
        <v>88264</v>
      </c>
      <c r="B2746" s="377" t="str">
        <f>ORÇAMENTO!C536</f>
        <v>15.07.08</v>
      </c>
      <c r="C2746" s="1047" t="str">
        <f>ORÇAMENTO!D536</f>
        <v>ELETRICISTA COM ENCARGOS COMPLEMENTARES</v>
      </c>
      <c r="D2746" s="1047"/>
      <c r="E2746" s="1047"/>
      <c r="F2746" s="1047"/>
      <c r="G2746" s="377" t="str">
        <f>ORÇAMENTO!E536</f>
        <v>H</v>
      </c>
      <c r="H2746" s="377">
        <f>SUM(H2747:H2747)</f>
        <v>160</v>
      </c>
      <c r="I2746" s="379"/>
      <c r="J2746" s="377"/>
      <c r="K2746" s="379"/>
      <c r="L2746" s="377"/>
      <c r="M2746" s="379"/>
      <c r="N2746" s="377"/>
      <c r="O2746" s="379"/>
    </row>
    <row r="2747" spans="1:15" ht="24" customHeight="1">
      <c r="A2747" s="342"/>
      <c r="B2747" s="342"/>
      <c r="C2747" s="1024" t="s">
        <v>2169</v>
      </c>
      <c r="D2747" s="1024"/>
      <c r="E2747" s="1024"/>
      <c r="F2747" s="1024"/>
      <c r="G2747" s="343" t="s">
        <v>40</v>
      </c>
      <c r="H2747" s="617">
        <f>2*5*8*2</f>
        <v>160</v>
      </c>
      <c r="I2747" s="617"/>
      <c r="J2747" s="617"/>
      <c r="K2747" s="618"/>
      <c r="L2747" s="618"/>
      <c r="M2747" s="618"/>
      <c r="N2747" s="700"/>
      <c r="O2747" s="700"/>
    </row>
    <row r="2748" spans="1:15" ht="12.75" customHeight="1">
      <c r="A2748" s="377">
        <f>ORÇAMENTO!A537</f>
        <v>10793</v>
      </c>
      <c r="B2748" s="377" t="str">
        <f>ORÇAMENTO!C537</f>
        <v>15.07.09</v>
      </c>
      <c r="C2748" s="1047" t="str">
        <f>ORÇAMENTO!D537</f>
        <v>CAIXA DE PASSAGEM PVC, 4" X 2" CM, EMBUTIR, P/ELETRODUTO</v>
      </c>
      <c r="D2748" s="1047"/>
      <c r="E2748" s="1047"/>
      <c r="F2748" s="1047"/>
      <c r="G2748" s="377" t="str">
        <f>ORÇAMENTO!E537</f>
        <v xml:space="preserve">UN </v>
      </c>
      <c r="H2748" s="377">
        <f>H2749</f>
        <v>25</v>
      </c>
      <c r="I2748" s="379"/>
      <c r="J2748" s="377"/>
      <c r="K2748" s="379"/>
      <c r="L2748" s="377"/>
      <c r="M2748" s="379"/>
      <c r="N2748" s="377"/>
      <c r="O2748" s="379"/>
    </row>
    <row r="2749" spans="1:15" ht="12.75" customHeight="1">
      <c r="A2749" s="342"/>
      <c r="B2749" s="342"/>
      <c r="C2749" s="1073" t="s">
        <v>2168</v>
      </c>
      <c r="D2749" s="1073"/>
      <c r="E2749" s="1073"/>
      <c r="F2749" s="1073"/>
      <c r="G2749" s="343" t="s">
        <v>55</v>
      </c>
      <c r="H2749" s="617">
        <v>25</v>
      </c>
      <c r="I2749" s="617"/>
      <c r="J2749" s="617"/>
      <c r="K2749" s="618"/>
      <c r="L2749" s="618"/>
      <c r="M2749" s="618"/>
      <c r="N2749" s="700"/>
      <c r="O2749" s="700"/>
    </row>
    <row r="2750" spans="1:15" ht="12.75" customHeight="1">
      <c r="A2750" s="377">
        <f>ORÇAMENTO!A538</f>
        <v>743</v>
      </c>
      <c r="B2750" s="377" t="str">
        <f>ORÇAMENTO!C538</f>
        <v>15.07.10</v>
      </c>
      <c r="C2750" s="1047" t="str">
        <f>ORÇAMENTO!D538</f>
        <v>CAIXA DE PASSAGEM PVC, 4" X 4" CM, EMBUTIR, P/ELETRODUTO</v>
      </c>
      <c r="D2750" s="1047"/>
      <c r="E2750" s="1047"/>
      <c r="F2750" s="1047"/>
      <c r="G2750" s="377" t="str">
        <f>ORÇAMENTO!E538</f>
        <v xml:space="preserve">UN </v>
      </c>
      <c r="H2750" s="377">
        <f>H2751</f>
        <v>17</v>
      </c>
      <c r="I2750" s="379"/>
      <c r="J2750" s="377"/>
      <c r="K2750" s="379"/>
      <c r="L2750" s="377"/>
      <c r="M2750" s="379"/>
      <c r="N2750" s="377"/>
      <c r="O2750" s="379"/>
    </row>
    <row r="2751" spans="1:15" ht="12.75" customHeight="1">
      <c r="A2751" s="342"/>
      <c r="B2751" s="342"/>
      <c r="C2751" s="1073" t="s">
        <v>2168</v>
      </c>
      <c r="D2751" s="1073"/>
      <c r="E2751" s="1073"/>
      <c r="F2751" s="1073"/>
      <c r="G2751" s="343" t="s">
        <v>55</v>
      </c>
      <c r="H2751" s="617">
        <v>17</v>
      </c>
      <c r="I2751" s="617"/>
      <c r="J2751" s="617"/>
      <c r="K2751" s="618"/>
      <c r="L2751" s="618"/>
      <c r="M2751" s="618"/>
      <c r="N2751" s="700"/>
      <c r="O2751" s="700"/>
    </row>
    <row r="2752" spans="1:15" ht="25.5" customHeight="1">
      <c r="A2752" s="377">
        <f>ORÇAMENTO!A539</f>
        <v>91936</v>
      </c>
      <c r="B2752" s="377" t="str">
        <f>ORÇAMENTO!C539</f>
        <v>15.07.11</v>
      </c>
      <c r="C2752" s="1047" t="str">
        <f>ORÇAMENTO!D539</f>
        <v>CAIXA OCTOGONAL 4" X 4", PVC, INSTALADA EM LAJE - FORNECIMENTO E INSTALAÇÃO. AF_12/2015</v>
      </c>
      <c r="D2752" s="1047"/>
      <c r="E2752" s="1047"/>
      <c r="F2752" s="1047"/>
      <c r="G2752" s="377" t="str">
        <f>ORÇAMENTO!E539</f>
        <v xml:space="preserve">UN </v>
      </c>
      <c r="H2752" s="377">
        <f>H2753</f>
        <v>1</v>
      </c>
      <c r="I2752" s="379"/>
      <c r="J2752" s="377"/>
      <c r="K2752" s="379"/>
      <c r="L2752" s="377"/>
      <c r="M2752" s="379"/>
      <c r="N2752" s="377"/>
      <c r="O2752" s="379"/>
    </row>
    <row r="2753" spans="1:15" ht="12.75" customHeight="1">
      <c r="A2753" s="342"/>
      <c r="B2753" s="342"/>
      <c r="C2753" s="1073" t="s">
        <v>2168</v>
      </c>
      <c r="D2753" s="1073"/>
      <c r="E2753" s="1073"/>
      <c r="F2753" s="1073"/>
      <c r="G2753" s="343" t="s">
        <v>55</v>
      </c>
      <c r="H2753" s="617">
        <v>1</v>
      </c>
      <c r="I2753" s="617"/>
      <c r="J2753" s="617"/>
      <c r="K2753" s="618"/>
      <c r="L2753" s="618"/>
      <c r="M2753" s="618"/>
      <c r="N2753" s="700"/>
      <c r="O2753" s="700"/>
    </row>
    <row r="2754" spans="1:15" ht="12.75" customHeight="1">
      <c r="A2754" s="377">
        <f>ORÇAMENTO!A540</f>
        <v>3811</v>
      </c>
      <c r="B2754" s="377" t="str">
        <f>ORÇAMENTO!C540</f>
        <v>15.07.12</v>
      </c>
      <c r="C2754" s="1047" t="str">
        <f>ORÇAMENTO!D540</f>
        <v>CANALETA PLÁSTICA 25MM X 25MM, SCHNEIDER OU SIMILAR</v>
      </c>
      <c r="D2754" s="1047"/>
      <c r="E2754" s="1047"/>
      <c r="F2754" s="1047"/>
      <c r="G2754" s="377" t="str">
        <f>ORÇAMENTO!E540</f>
        <v xml:space="preserve">UN </v>
      </c>
      <c r="H2754" s="377">
        <f>H2755</f>
        <v>27</v>
      </c>
      <c r="I2754" s="379"/>
      <c r="J2754" s="377"/>
      <c r="K2754" s="379"/>
      <c r="L2754" s="377"/>
      <c r="M2754" s="379"/>
      <c r="N2754" s="377"/>
      <c r="O2754" s="379"/>
    </row>
    <row r="2755" spans="1:15" ht="12.75" customHeight="1">
      <c r="A2755" s="342"/>
      <c r="B2755" s="342"/>
      <c r="C2755" s="1073" t="s">
        <v>2168</v>
      </c>
      <c r="D2755" s="1073"/>
      <c r="E2755" s="1073"/>
      <c r="F2755" s="1073"/>
      <c r="G2755" s="343" t="s">
        <v>55</v>
      </c>
      <c r="H2755" s="617">
        <v>27</v>
      </c>
      <c r="I2755" s="617"/>
      <c r="J2755" s="617"/>
      <c r="K2755" s="618"/>
      <c r="L2755" s="618"/>
      <c r="M2755" s="618"/>
      <c r="N2755" s="700"/>
      <c r="O2755" s="700"/>
    </row>
    <row r="2756" spans="1:15" ht="43.5" customHeight="1">
      <c r="A2756" s="377">
        <f>ORÇAMENTO!A541</f>
        <v>7817</v>
      </c>
      <c r="B2756" s="377" t="str">
        <f>ORÇAMENTO!C541</f>
        <v>15.07.13</v>
      </c>
      <c r="C2756" s="1047" t="str">
        <f>ORÇAMENTO!D541</f>
        <v>TOMADA DUPLA PARA LÓGICA RJ45, 4"X2", EMBUTIR, COMPLETA, REF.0605, FAME OU SIMILAR</v>
      </c>
      <c r="D2756" s="1047"/>
      <c r="E2756" s="1047"/>
      <c r="F2756" s="1047"/>
      <c r="G2756" s="377" t="str">
        <f>ORÇAMENTO!E541</f>
        <v xml:space="preserve">UN </v>
      </c>
      <c r="H2756" s="377">
        <f>H2757</f>
        <v>194</v>
      </c>
      <c r="I2756" s="379"/>
      <c r="J2756" s="377"/>
      <c r="K2756" s="379"/>
      <c r="L2756" s="377"/>
      <c r="M2756" s="379"/>
      <c r="N2756" s="377"/>
      <c r="O2756" s="379"/>
    </row>
    <row r="2757" spans="1:15" ht="12.75" customHeight="1">
      <c r="A2757" s="342"/>
      <c r="B2757" s="342"/>
      <c r="C2757" s="1073" t="s">
        <v>2168</v>
      </c>
      <c r="D2757" s="1073"/>
      <c r="E2757" s="1073"/>
      <c r="F2757" s="1073"/>
      <c r="G2757" s="343" t="s">
        <v>55</v>
      </c>
      <c r="H2757" s="617">
        <v>194</v>
      </c>
      <c r="I2757" s="617"/>
      <c r="J2757" s="617"/>
      <c r="K2757" s="618"/>
      <c r="L2757" s="618"/>
      <c r="M2757" s="618"/>
      <c r="N2757" s="700"/>
      <c r="O2757" s="700"/>
    </row>
    <row r="2758" spans="1:15" ht="26.25" customHeight="1">
      <c r="A2758" s="377">
        <f>ORÇAMENTO!A542</f>
        <v>794</v>
      </c>
      <c r="B2758" s="377" t="str">
        <f>ORÇAMENTO!C542</f>
        <v>15.07.14</v>
      </c>
      <c r="C2758" s="1047" t="str">
        <f>ORÇAMENTO!D542</f>
        <v>TOMADA PARA LÓGICA, RJ45, COM CAIXA SOBREPOR, APARENTE</v>
      </c>
      <c r="D2758" s="1047"/>
      <c r="E2758" s="1047"/>
      <c r="F2758" s="1047"/>
      <c r="G2758" s="377" t="str">
        <f>ORÇAMENTO!E542</f>
        <v xml:space="preserve">UN </v>
      </c>
      <c r="H2758" s="377">
        <f>H2759</f>
        <v>12</v>
      </c>
      <c r="I2758" s="379"/>
      <c r="J2758" s="377"/>
      <c r="K2758" s="379"/>
      <c r="L2758" s="377"/>
      <c r="M2758" s="379"/>
      <c r="N2758" s="377"/>
      <c r="O2758" s="379"/>
    </row>
    <row r="2759" spans="1:15" ht="12.75" customHeight="1">
      <c r="A2759" s="342"/>
      <c r="B2759" s="342"/>
      <c r="C2759" s="1073" t="s">
        <v>2168</v>
      </c>
      <c r="D2759" s="1073"/>
      <c r="E2759" s="1073"/>
      <c r="F2759" s="1073"/>
      <c r="G2759" s="343" t="s">
        <v>55</v>
      </c>
      <c r="H2759" s="617">
        <v>12</v>
      </c>
      <c r="I2759" s="617"/>
      <c r="J2759" s="617"/>
      <c r="K2759" s="618"/>
      <c r="L2759" s="618"/>
      <c r="M2759" s="618"/>
      <c r="N2759" s="700"/>
      <c r="O2759" s="700"/>
    </row>
    <row r="2760" spans="1:15" ht="24.75" customHeight="1">
      <c r="A2760" s="377">
        <f>ORÇAMENTO!A543</f>
        <v>7792</v>
      </c>
      <c r="B2760" s="377" t="str">
        <f>ORÇAMENTO!C543</f>
        <v>15.07.15</v>
      </c>
      <c r="C2760" s="1047" t="str">
        <f>ORÇAMENTO!D543</f>
        <v>TOMADA DUPLA PARA LÓGICA RJ45, 4"X4", EMBUTIR, COMPLETA</v>
      </c>
      <c r="D2760" s="1047"/>
      <c r="E2760" s="1047"/>
      <c r="F2760" s="1047"/>
      <c r="G2760" s="377" t="str">
        <f>ORÇAMENTO!E543</f>
        <v xml:space="preserve">UN </v>
      </c>
      <c r="H2760" s="377">
        <f>H2761</f>
        <v>26</v>
      </c>
      <c r="I2760" s="379"/>
      <c r="J2760" s="377"/>
      <c r="K2760" s="379"/>
      <c r="L2760" s="377"/>
      <c r="M2760" s="379"/>
      <c r="N2760" s="377"/>
      <c r="O2760" s="379"/>
    </row>
    <row r="2761" spans="1:15" ht="12.75" customHeight="1">
      <c r="A2761" s="342"/>
      <c r="B2761" s="342"/>
      <c r="C2761" s="1073" t="s">
        <v>2168</v>
      </c>
      <c r="D2761" s="1073"/>
      <c r="E2761" s="1073"/>
      <c r="F2761" s="1073"/>
      <c r="G2761" s="343" t="s">
        <v>55</v>
      </c>
      <c r="H2761" s="617">
        <v>26</v>
      </c>
      <c r="I2761" s="617"/>
      <c r="J2761" s="617"/>
      <c r="K2761" s="618"/>
      <c r="L2761" s="618"/>
      <c r="M2761" s="618"/>
      <c r="N2761" s="700"/>
      <c r="O2761" s="700"/>
    </row>
    <row r="2762" spans="1:15" ht="25.5" customHeight="1">
      <c r="A2762" s="377" t="str">
        <f>ORÇAMENTO!A544</f>
        <v>I-10322</v>
      </c>
      <c r="B2762" s="377" t="str">
        <f>ORÇAMENTO!C544</f>
        <v>15.07.16</v>
      </c>
      <c r="C2762" s="1047" t="str">
        <f>ORÇAMENTO!D544</f>
        <v>CERTIFICAÇÃO DE REDE CABEAMENTO ESTRUTURADO (REF: OBRA SERGIPETEC)</v>
      </c>
      <c r="D2762" s="1047"/>
      <c r="E2762" s="1047"/>
      <c r="F2762" s="1047"/>
      <c r="G2762" s="377" t="str">
        <f>ORÇAMENTO!E544</f>
        <v xml:space="preserve">UN </v>
      </c>
      <c r="H2762" s="377">
        <f>H2763</f>
        <v>232</v>
      </c>
      <c r="I2762" s="379"/>
      <c r="J2762" s="377"/>
      <c r="K2762" s="379"/>
      <c r="L2762" s="377"/>
      <c r="M2762" s="379"/>
      <c r="N2762" s="377"/>
      <c r="O2762" s="379"/>
    </row>
    <row r="2763" spans="1:15" ht="12.75" customHeight="1">
      <c r="A2763" s="918"/>
      <c r="B2763" s="918"/>
      <c r="C2763" s="1073" t="s">
        <v>2168</v>
      </c>
      <c r="D2763" s="1073"/>
      <c r="E2763" s="1073"/>
      <c r="F2763" s="1073"/>
      <c r="G2763" s="343" t="s">
        <v>55</v>
      </c>
      <c r="H2763" s="617">
        <f>H2761+H2759+H2757</f>
        <v>232</v>
      </c>
      <c r="I2763" s="617"/>
      <c r="J2763" s="617"/>
      <c r="K2763" s="618"/>
      <c r="L2763" s="618"/>
      <c r="M2763" s="618"/>
      <c r="N2763" s="700"/>
      <c r="O2763" s="700"/>
    </row>
    <row r="2764" spans="1:15" ht="12.75" customHeight="1">
      <c r="A2764" s="377">
        <f>ORÇAMENTO!A545</f>
        <v>12984</v>
      </c>
      <c r="B2764" s="377" t="str">
        <f>ORÇAMENTO!C545</f>
        <v>15.07.17</v>
      </c>
      <c r="C2764" s="1071" t="str">
        <f>ORÇAMENTO!D545</f>
        <v>PLACA CEGA PARA CAIXA DE PVC 4" X 2", P/ ELETRODUTO</v>
      </c>
      <c r="D2764" s="1071"/>
      <c r="E2764" s="1071"/>
      <c r="F2764" s="1071"/>
      <c r="G2764" s="377" t="str">
        <f>ORÇAMENTO!E545</f>
        <v xml:space="preserve">UN </v>
      </c>
      <c r="H2764" s="377">
        <f>H2765</f>
        <v>2</v>
      </c>
      <c r="I2764" s="379"/>
      <c r="J2764" s="377"/>
      <c r="K2764" s="379"/>
      <c r="L2764" s="377"/>
      <c r="M2764" s="379"/>
      <c r="N2764" s="377"/>
      <c r="O2764" s="379"/>
    </row>
    <row r="2765" spans="1:15" ht="12.75" customHeight="1">
      <c r="A2765" s="342"/>
      <c r="B2765" s="342"/>
      <c r="C2765" s="1073" t="s">
        <v>2168</v>
      </c>
      <c r="D2765" s="1073"/>
      <c r="E2765" s="1073"/>
      <c r="F2765" s="1073"/>
      <c r="G2765" s="343" t="s">
        <v>55</v>
      </c>
      <c r="H2765" s="617">
        <v>2</v>
      </c>
      <c r="I2765" s="617"/>
      <c r="J2765" s="617"/>
      <c r="K2765" s="618"/>
      <c r="L2765" s="618"/>
      <c r="M2765" s="618"/>
      <c r="N2765" s="700"/>
      <c r="O2765" s="700"/>
    </row>
    <row r="2766" spans="1:15" ht="12.75" customHeight="1">
      <c r="A2766" s="377">
        <f>ORÇAMENTO!A546</f>
        <v>8998</v>
      </c>
      <c r="B2766" s="377" t="str">
        <f>ORÇAMENTO!C546</f>
        <v>15.07.18</v>
      </c>
      <c r="C2766" s="1047" t="str">
        <f>ORÇAMENTO!D546</f>
        <v>PLACA CEGA PARA CAIXA DE PVC 4"X 4", P/ELETRODUTO</v>
      </c>
      <c r="D2766" s="1047"/>
      <c r="E2766" s="1047"/>
      <c r="F2766" s="1047"/>
      <c r="G2766" s="377" t="str">
        <f>ORÇAMENTO!E546</f>
        <v xml:space="preserve">UN </v>
      </c>
      <c r="H2766" s="377">
        <f>H2767</f>
        <v>2</v>
      </c>
      <c r="I2766" s="379"/>
      <c r="J2766" s="377"/>
      <c r="K2766" s="379"/>
      <c r="L2766" s="377"/>
      <c r="M2766" s="379"/>
      <c r="N2766" s="377"/>
      <c r="O2766" s="379"/>
    </row>
    <row r="2767" spans="1:15" ht="12.75" customHeight="1">
      <c r="A2767" s="342"/>
      <c r="B2767" s="342"/>
      <c r="C2767" s="1073" t="s">
        <v>2168</v>
      </c>
      <c r="D2767" s="1073"/>
      <c r="E2767" s="1073"/>
      <c r="F2767" s="1073"/>
      <c r="G2767" s="343" t="s">
        <v>55</v>
      </c>
      <c r="H2767" s="617">
        <v>2</v>
      </c>
      <c r="I2767" s="617"/>
      <c r="J2767" s="617"/>
      <c r="K2767" s="618"/>
      <c r="L2767" s="618"/>
      <c r="M2767" s="618"/>
      <c r="N2767" s="700"/>
      <c r="O2767" s="700"/>
    </row>
    <row r="2768" spans="1:15" ht="40.5" customHeight="1">
      <c r="A2768" s="377">
        <f>ORÇAMENTO!A547</f>
        <v>91872</v>
      </c>
      <c r="B2768" s="377" t="str">
        <f>ORÇAMENTO!C547</f>
        <v>15.07.19</v>
      </c>
      <c r="C2768" s="1047" t="str">
        <f>ORÇAMENTO!D547</f>
        <v>ELETRODUTO RÍGIDO ROSCÁVEL, PVC, DN 32 MM (1"), PARA CIRCUITOS TERMINAIS, INSTALADO EM PAREDE - FORNECIMENTO E INSTALAÇÃO. AF_12/2015</v>
      </c>
      <c r="D2768" s="1047"/>
      <c r="E2768" s="1047"/>
      <c r="F2768" s="1047"/>
      <c r="G2768" s="377" t="str">
        <f>ORÇAMENTO!E547</f>
        <v>M</v>
      </c>
      <c r="H2768" s="395">
        <f>SUM(H2769:H2770)</f>
        <v>302.29199999999997</v>
      </c>
      <c r="I2768" s="379"/>
      <c r="J2768" s="377"/>
      <c r="K2768" s="379"/>
      <c r="L2768" s="377"/>
      <c r="M2768" s="379"/>
      <c r="N2768" s="377"/>
      <c r="O2768" s="379"/>
    </row>
    <row r="2769" spans="1:15" ht="15" customHeight="1">
      <c r="A2769" s="342"/>
      <c r="B2769" s="342"/>
      <c r="C2769" s="1024" t="s">
        <v>2170</v>
      </c>
      <c r="D2769" s="1024"/>
      <c r="E2769" s="1024"/>
      <c r="F2769" s="1024"/>
      <c r="G2769" s="343" t="s">
        <v>246</v>
      </c>
      <c r="H2769" s="588">
        <f>(105.94+59.26)*1.2</f>
        <v>198.23999999999998</v>
      </c>
      <c r="I2769" s="617"/>
      <c r="J2769" s="617"/>
      <c r="K2769" s="618"/>
      <c r="L2769" s="618"/>
      <c r="M2769" s="618"/>
      <c r="N2769" s="700"/>
      <c r="O2769" s="700"/>
    </row>
    <row r="2770" spans="1:15" ht="15" customHeight="1">
      <c r="A2770" s="342"/>
      <c r="B2770" s="342"/>
      <c r="C2770" s="1024" t="s">
        <v>2171</v>
      </c>
      <c r="D2770" s="1024"/>
      <c r="E2770" s="1024"/>
      <c r="F2770" s="1024"/>
      <c r="G2770" s="343" t="s">
        <v>246</v>
      </c>
      <c r="H2770" s="617">
        <f>86.71*1.2</f>
        <v>104.05199999999999</v>
      </c>
      <c r="I2770" s="617"/>
      <c r="J2770" s="617"/>
      <c r="K2770" s="618"/>
      <c r="L2770" s="618"/>
      <c r="M2770" s="618"/>
      <c r="N2770" s="700"/>
      <c r="O2770" s="700"/>
    </row>
    <row r="2771" spans="1:15" ht="46.15" customHeight="1">
      <c r="A2771" s="377">
        <f>ORÇAMENTO!A548</f>
        <v>91917</v>
      </c>
      <c r="B2771" s="377" t="str">
        <f>ORÇAMENTO!C548</f>
        <v>15.07.20</v>
      </c>
      <c r="C2771" s="1047" t="str">
        <f>ORÇAMENTO!D548</f>
        <v>CURVA 90 GRAUS PARA ELETRODUTO, PVC, ROSCÁVEL, DN 32 MM (1"), PARA CIRCUITOS TERMINAIS, INSTALADA EM PAREDE - FORNECIMENTO E INSTALAÇÃO. AF_12/2015</v>
      </c>
      <c r="D2771" s="1063"/>
      <c r="E2771" s="1063"/>
      <c r="F2771" s="1064"/>
      <c r="G2771" s="377" t="str">
        <f>ORÇAMENTO!E548</f>
        <v xml:space="preserve">UN </v>
      </c>
      <c r="H2771" s="377">
        <f>H2772</f>
        <v>20</v>
      </c>
      <c r="I2771" s="379"/>
      <c r="J2771" s="377"/>
      <c r="K2771" s="379"/>
      <c r="L2771" s="377"/>
      <c r="M2771" s="379"/>
      <c r="N2771" s="377"/>
      <c r="O2771" s="379"/>
    </row>
    <row r="2772" spans="1:15" ht="12.75" customHeight="1">
      <c r="A2772" s="342"/>
      <c r="B2772" s="342"/>
      <c r="C2772" s="1073" t="s">
        <v>2168</v>
      </c>
      <c r="D2772" s="1073"/>
      <c r="E2772" s="1073"/>
      <c r="F2772" s="1073"/>
      <c r="G2772" s="343" t="s">
        <v>55</v>
      </c>
      <c r="H2772" s="617">
        <v>20</v>
      </c>
      <c r="I2772" s="617"/>
      <c r="J2772" s="617"/>
      <c r="K2772" s="618"/>
      <c r="L2772" s="618"/>
      <c r="M2772" s="618"/>
      <c r="N2772" s="700"/>
      <c r="O2772" s="700"/>
    </row>
    <row r="2773" spans="1:15" ht="40.9" customHeight="1">
      <c r="A2773" s="377">
        <f>ORÇAMENTO!A549</f>
        <v>91885</v>
      </c>
      <c r="B2773" s="377" t="str">
        <f>ORÇAMENTO!C549</f>
        <v>15.07.21</v>
      </c>
      <c r="C2773" s="1047" t="str">
        <f>ORÇAMENTO!D549</f>
        <v>LUVA PARA ELETRODUTO, PVC, ROSCÁVEL, DN 32 MM (1"), PARA CIRCUITOS TERMINAIS, INSTALADA EM PAREDE - FORNECIMENTO E INSTALAÇÃO. AF_12/2015</v>
      </c>
      <c r="D2773" s="1047"/>
      <c r="E2773" s="1047"/>
      <c r="F2773" s="1047"/>
      <c r="G2773" s="377" t="str">
        <f>ORÇAMENTO!E549</f>
        <v xml:space="preserve">UN </v>
      </c>
      <c r="H2773" s="377">
        <f>H2774</f>
        <v>20</v>
      </c>
      <c r="I2773" s="379"/>
      <c r="J2773" s="377"/>
      <c r="K2773" s="379"/>
      <c r="L2773" s="377"/>
      <c r="M2773" s="379"/>
      <c r="N2773" s="377"/>
      <c r="O2773" s="379"/>
    </row>
    <row r="2774" spans="1:15" ht="12.75" customHeight="1">
      <c r="A2774" s="342"/>
      <c r="B2774" s="342"/>
      <c r="C2774" s="1073" t="s">
        <v>2168</v>
      </c>
      <c r="D2774" s="1073"/>
      <c r="E2774" s="1073"/>
      <c r="F2774" s="1073"/>
      <c r="G2774" s="343" t="s">
        <v>55</v>
      </c>
      <c r="H2774" s="617">
        <v>20</v>
      </c>
      <c r="I2774" s="617"/>
      <c r="J2774" s="617"/>
      <c r="K2774" s="618"/>
      <c r="L2774" s="618"/>
      <c r="M2774" s="618"/>
      <c r="N2774" s="700"/>
      <c r="O2774" s="700"/>
    </row>
    <row r="2775" spans="1:15" ht="28.5" customHeight="1">
      <c r="A2775" s="377">
        <f>ORÇAMENTO!A550</f>
        <v>344</v>
      </c>
      <c r="B2775" s="377" t="str">
        <f>ORÇAMENTO!C550</f>
        <v>15.07.22</v>
      </c>
      <c r="C2775" s="1047" t="str">
        <f>ORÇAMENTO!D550</f>
        <v>BUCHA COM ARRUELA EM LIGA ESPECIAL ZAMAK P/ELETRODUTO 25MM, D=1"</v>
      </c>
      <c r="D2775" s="1047"/>
      <c r="E2775" s="1047"/>
      <c r="F2775" s="1047"/>
      <c r="G2775" s="377" t="str">
        <f>ORÇAMENTO!E550</f>
        <v xml:space="preserve">UN </v>
      </c>
      <c r="H2775" s="377">
        <f>H2776</f>
        <v>10</v>
      </c>
      <c r="I2775" s="379"/>
      <c r="J2775" s="377"/>
      <c r="K2775" s="379"/>
      <c r="L2775" s="377"/>
      <c r="M2775" s="379"/>
      <c r="N2775" s="377"/>
      <c r="O2775" s="379"/>
    </row>
    <row r="2776" spans="1:15" ht="12.75" customHeight="1">
      <c r="A2776" s="342"/>
      <c r="B2776" s="342"/>
      <c r="C2776" s="1073" t="s">
        <v>2168</v>
      </c>
      <c r="D2776" s="1073"/>
      <c r="E2776" s="1073"/>
      <c r="F2776" s="1073"/>
      <c r="G2776" s="343" t="s">
        <v>55</v>
      </c>
      <c r="H2776" s="617">
        <v>10</v>
      </c>
      <c r="I2776" s="617"/>
      <c r="J2776" s="617"/>
      <c r="K2776" s="618"/>
      <c r="L2776" s="618"/>
      <c r="M2776" s="618"/>
      <c r="N2776" s="700"/>
      <c r="O2776" s="700"/>
    </row>
    <row r="2777" spans="1:15" ht="43.5" customHeight="1">
      <c r="A2777" s="377">
        <f>ORÇAMENTO!A551</f>
        <v>91873</v>
      </c>
      <c r="B2777" s="377" t="str">
        <f>ORÇAMENTO!C551</f>
        <v>15.07.23</v>
      </c>
      <c r="C2777" s="1047" t="str">
        <f>ORÇAMENTO!D551</f>
        <v>ELETRODUTO RÍGIDO ROSCÁVEL, PVC, DN 40 MM (1 1/4"), PARA CIRCUITOS TERMINAIS, INSTALADO EM PAREDE - FORNECIMENTO E INSTALAÇÃO. AF_12/2015</v>
      </c>
      <c r="D2777" s="1047"/>
      <c r="E2777" s="1047"/>
      <c r="F2777" s="1047"/>
      <c r="G2777" s="377" t="str">
        <f>ORÇAMENTO!E551</f>
        <v>M</v>
      </c>
      <c r="H2777" s="377">
        <f>H2778</f>
        <v>36</v>
      </c>
      <c r="I2777" s="379"/>
      <c r="J2777" s="377"/>
      <c r="K2777" s="379"/>
      <c r="L2777" s="377"/>
      <c r="M2777" s="379"/>
      <c r="N2777" s="377"/>
      <c r="O2777" s="379"/>
    </row>
    <row r="2778" spans="1:15" ht="12.75" customHeight="1">
      <c r="A2778" s="342"/>
      <c r="B2778" s="342"/>
      <c r="C2778" s="1073" t="s">
        <v>2168</v>
      </c>
      <c r="D2778" s="1073"/>
      <c r="E2778" s="1073"/>
      <c r="F2778" s="1073"/>
      <c r="G2778" s="343" t="s">
        <v>246</v>
      </c>
      <c r="H2778" s="617">
        <f>30*1.2</f>
        <v>36</v>
      </c>
      <c r="I2778" s="617"/>
      <c r="J2778" s="617"/>
      <c r="K2778" s="618"/>
      <c r="L2778" s="618"/>
      <c r="M2778" s="618"/>
      <c r="N2778" s="700"/>
      <c r="O2778" s="700"/>
    </row>
    <row r="2779" spans="1:15" ht="30" customHeight="1">
      <c r="A2779" s="377">
        <f>ORÇAMENTO!A552</f>
        <v>364</v>
      </c>
      <c r="B2779" s="377" t="str">
        <f>ORÇAMENTO!C552</f>
        <v>15.07.24</v>
      </c>
      <c r="C2779" s="1047" t="str">
        <f>ORÇAMENTO!D552</f>
        <v>CURVA PARA ELETRODUTO DE PVC RÍGIDO ROSCÁVEL, DIÂM = 40MM (1 1/4")</v>
      </c>
      <c r="D2779" s="1047"/>
      <c r="E2779" s="1047"/>
      <c r="F2779" s="1047"/>
      <c r="G2779" s="377" t="str">
        <f>ORÇAMENTO!E552</f>
        <v xml:space="preserve">UN </v>
      </c>
      <c r="H2779" s="377">
        <f>H2780</f>
        <v>5</v>
      </c>
      <c r="I2779" s="379"/>
      <c r="J2779" s="377"/>
      <c r="K2779" s="379"/>
      <c r="L2779" s="377"/>
      <c r="M2779" s="379"/>
      <c r="N2779" s="377"/>
      <c r="O2779" s="379"/>
    </row>
    <row r="2780" spans="1:15" ht="12.75" customHeight="1">
      <c r="A2780" s="342"/>
      <c r="B2780" s="342"/>
      <c r="C2780" s="1073" t="s">
        <v>2168</v>
      </c>
      <c r="D2780" s="1073"/>
      <c r="E2780" s="1073"/>
      <c r="F2780" s="1073"/>
      <c r="G2780" s="343" t="s">
        <v>55</v>
      </c>
      <c r="H2780" s="617">
        <v>5</v>
      </c>
      <c r="I2780" s="617"/>
      <c r="J2780" s="617"/>
      <c r="K2780" s="618"/>
      <c r="L2780" s="618"/>
      <c r="M2780" s="618"/>
      <c r="N2780" s="700"/>
      <c r="O2780" s="700"/>
    </row>
    <row r="2781" spans="1:15" ht="39.75" customHeight="1">
      <c r="A2781" s="377">
        <f>ORÇAMENTO!A553</f>
        <v>373</v>
      </c>
      <c r="B2781" s="377" t="str">
        <f>ORÇAMENTO!C553</f>
        <v>15.07.25</v>
      </c>
      <c r="C2781" s="1047" t="str">
        <f>ORÇAMENTO!D553</f>
        <v>LUVA PARA ELETRODUTO DE PVC RÍGIDO ROSCÁVEL, DIA=40MM (1 1/ 4")</v>
      </c>
      <c r="D2781" s="1047"/>
      <c r="E2781" s="1047"/>
      <c r="F2781" s="1047"/>
      <c r="G2781" s="377" t="str">
        <f>ORÇAMENTO!E553</f>
        <v xml:space="preserve">UN </v>
      </c>
      <c r="H2781" s="377">
        <f>H2782</f>
        <v>4</v>
      </c>
      <c r="I2781" s="379"/>
      <c r="J2781" s="377"/>
      <c r="K2781" s="379"/>
      <c r="L2781" s="377"/>
      <c r="M2781" s="379"/>
      <c r="N2781" s="377"/>
      <c r="O2781" s="379"/>
    </row>
    <row r="2782" spans="1:15" ht="12.75" customHeight="1">
      <c r="A2782" s="342"/>
      <c r="B2782" s="342"/>
      <c r="C2782" s="1073" t="s">
        <v>2168</v>
      </c>
      <c r="D2782" s="1073"/>
      <c r="E2782" s="1073"/>
      <c r="F2782" s="1073"/>
      <c r="G2782" s="343" t="s">
        <v>55</v>
      </c>
      <c r="H2782" s="617">
        <v>4</v>
      </c>
      <c r="I2782" s="617"/>
      <c r="J2782" s="617"/>
      <c r="K2782" s="618"/>
      <c r="L2782" s="618"/>
      <c r="M2782" s="618"/>
      <c r="N2782" s="700"/>
      <c r="O2782" s="700"/>
    </row>
    <row r="2783" spans="1:15" ht="30" customHeight="1">
      <c r="A2783" s="377">
        <f>ORÇAMENTO!A554</f>
        <v>9925</v>
      </c>
      <c r="B2783" s="377" t="str">
        <f>ORÇAMENTO!C554</f>
        <v>15.07.26</v>
      </c>
      <c r="C2783" s="1047" t="str">
        <f>ORÇAMENTO!D554</f>
        <v>BUCHA COM ARRUELA EM LIGA ESPECIAL ZAMAK P/ELETRODUTO 32MM, D=1 1/4"</v>
      </c>
      <c r="D2783" s="1047"/>
      <c r="E2783" s="1047"/>
      <c r="F2783" s="1047"/>
      <c r="G2783" s="377" t="str">
        <f>ORÇAMENTO!E554</f>
        <v xml:space="preserve">UN </v>
      </c>
      <c r="H2783" s="377">
        <f>H2784</f>
        <v>20</v>
      </c>
      <c r="I2783" s="379"/>
      <c r="J2783" s="377"/>
      <c r="K2783" s="379"/>
      <c r="L2783" s="377"/>
      <c r="M2783" s="379"/>
      <c r="N2783" s="377"/>
      <c r="O2783" s="379"/>
    </row>
    <row r="2784" spans="1:15" ht="12.75" customHeight="1">
      <c r="A2784" s="342"/>
      <c r="B2784" s="342"/>
      <c r="C2784" s="1073" t="s">
        <v>2168</v>
      </c>
      <c r="D2784" s="1073"/>
      <c r="E2784" s="1073"/>
      <c r="F2784" s="1073"/>
      <c r="G2784" s="343" t="s">
        <v>55</v>
      </c>
      <c r="H2784" s="617">
        <v>20</v>
      </c>
      <c r="I2784" s="617"/>
      <c r="J2784" s="617"/>
      <c r="K2784" s="618"/>
      <c r="L2784" s="618"/>
      <c r="M2784" s="618"/>
      <c r="N2784" s="700"/>
      <c r="O2784" s="700"/>
    </row>
    <row r="2785" spans="1:15" ht="39.75" customHeight="1">
      <c r="A2785" s="377">
        <f>ORÇAMENTO!A555</f>
        <v>91834</v>
      </c>
      <c r="B2785" s="377" t="str">
        <f>ORÇAMENTO!C555</f>
        <v>15.07.27</v>
      </c>
      <c r="C2785" s="1003" t="str">
        <f>ORÇAMENTO!D555</f>
        <v>ELETRODUTO FLEXÍVEL CORRUGADO, PVC, DN 25 MM (3/4"), PARA CIRCUITOS TERMINAIS, INSTALADO EM FORRO - FORNECIMENTO E INSTALAÇÃO. AF_12/2015</v>
      </c>
      <c r="D2785" s="1003"/>
      <c r="E2785" s="1003"/>
      <c r="F2785" s="1003"/>
      <c r="G2785" s="377" t="str">
        <f>ORÇAMENTO!E555</f>
        <v>M</v>
      </c>
      <c r="H2785" s="395">
        <f>H2786</f>
        <v>453.59999999999997</v>
      </c>
      <c r="I2785" s="379"/>
      <c r="J2785" s="377"/>
      <c r="K2785" s="379"/>
      <c r="L2785" s="377"/>
      <c r="M2785" s="379"/>
      <c r="N2785" s="377"/>
      <c r="O2785" s="379"/>
    </row>
    <row r="2786" spans="1:15" ht="12.75" customHeight="1">
      <c r="A2786" s="342"/>
      <c r="B2786" s="342"/>
      <c r="C2786" s="1073" t="s">
        <v>2168</v>
      </c>
      <c r="D2786" s="1073"/>
      <c r="E2786" s="1073"/>
      <c r="F2786" s="1073"/>
      <c r="G2786" s="343" t="s">
        <v>246</v>
      </c>
      <c r="H2786" s="588">
        <f>189*2*1.2</f>
        <v>453.59999999999997</v>
      </c>
      <c r="I2786" s="617"/>
      <c r="J2786" s="617"/>
      <c r="K2786" s="618"/>
      <c r="L2786" s="618"/>
      <c r="M2786" s="618"/>
      <c r="N2786" s="700"/>
      <c r="O2786" s="700"/>
    </row>
    <row r="2787" spans="1:15" ht="25.15" customHeight="1">
      <c r="A2787" s="377" t="str">
        <f>ORÇAMENTO!A556</f>
        <v>I-00001900</v>
      </c>
      <c r="B2787" s="377" t="str">
        <f>ORÇAMENTO!C556</f>
        <v>15.07.28</v>
      </c>
      <c r="C2787" s="1003" t="str">
        <f>ORÇAMENTO!D556</f>
        <v>LUVA DE PRESSAO, EM PVC, DE 32 MM, PARA ELETRODUTO FLEXIVEL</v>
      </c>
      <c r="D2787" s="1003"/>
      <c r="E2787" s="1003"/>
      <c r="F2787" s="1003"/>
      <c r="G2787" s="377" t="str">
        <f>ORÇAMENTO!E556</f>
        <v xml:space="preserve">UN </v>
      </c>
      <c r="H2787" s="377">
        <f>H2788</f>
        <v>3</v>
      </c>
      <c r="I2787" s="379"/>
      <c r="J2787" s="377"/>
      <c r="K2787" s="379"/>
      <c r="L2787" s="377"/>
      <c r="M2787" s="379"/>
      <c r="N2787" s="377"/>
      <c r="O2787" s="379"/>
    </row>
    <row r="2788" spans="1:15" ht="12.75" customHeight="1">
      <c r="A2788" s="342"/>
      <c r="B2788" s="342"/>
      <c r="C2788" s="1073" t="s">
        <v>2168</v>
      </c>
      <c r="D2788" s="1073"/>
      <c r="E2788" s="1073"/>
      <c r="F2788" s="1073"/>
      <c r="G2788" s="343" t="s">
        <v>55</v>
      </c>
      <c r="H2788" s="617">
        <v>3</v>
      </c>
      <c r="I2788" s="617"/>
      <c r="J2788" s="617"/>
      <c r="K2788" s="618"/>
      <c r="L2788" s="618"/>
      <c r="M2788" s="618"/>
      <c r="N2788" s="700"/>
      <c r="O2788" s="700"/>
    </row>
    <row r="2789" spans="1:15" ht="30.75" customHeight="1">
      <c r="A2789" s="377">
        <f>ORÇAMENTO!A557</f>
        <v>764</v>
      </c>
      <c r="B2789" s="377" t="str">
        <f>ORÇAMENTO!C557</f>
        <v>15.07.29</v>
      </c>
      <c r="C2789" s="1047" t="str">
        <f>ORÇAMENTO!D557</f>
        <v>FORNECIMENTO E INSTALAÇÃO DE ELETROCALHA PERFURADA 300 X 100 X 3000 MM (REF. MOPA OU SIMILAR)</v>
      </c>
      <c r="D2789" s="1047"/>
      <c r="E2789" s="1047"/>
      <c r="F2789" s="1047"/>
      <c r="G2789" s="377" t="str">
        <f>ORÇAMENTO!E557</f>
        <v>M</v>
      </c>
      <c r="H2789" s="377">
        <f>H2790</f>
        <v>130.88999999999999</v>
      </c>
      <c r="I2789" s="379"/>
      <c r="J2789" s="377"/>
      <c r="K2789" s="379"/>
      <c r="L2789" s="377"/>
      <c r="M2789" s="379"/>
      <c r="N2789" s="377"/>
      <c r="O2789" s="379"/>
    </row>
    <row r="2790" spans="1:15" ht="12.75" customHeight="1">
      <c r="A2790" s="342"/>
      <c r="B2790" s="342"/>
      <c r="C2790" s="1073" t="s">
        <v>2168</v>
      </c>
      <c r="D2790" s="1073"/>
      <c r="E2790" s="1073"/>
      <c r="F2790" s="1073"/>
      <c r="G2790" s="343" t="s">
        <v>246</v>
      </c>
      <c r="H2790" s="617">
        <f>130.89</f>
        <v>130.88999999999999</v>
      </c>
      <c r="I2790" s="617"/>
      <c r="J2790" s="617"/>
      <c r="K2790" s="618"/>
      <c r="L2790" s="618"/>
      <c r="M2790" s="618"/>
      <c r="N2790" s="700"/>
      <c r="O2790" s="700"/>
    </row>
    <row r="2791" spans="1:15" ht="31.5" customHeight="1">
      <c r="A2791" s="377">
        <f>ORÇAMENTO!A558</f>
        <v>9521</v>
      </c>
      <c r="B2791" s="377" t="str">
        <f>ORÇAMENTO!C558</f>
        <v>15.07.30</v>
      </c>
      <c r="C2791" s="1047" t="str">
        <f>ORÇAMENTO!D558</f>
        <v>CURVA HORIZONTAL 300 X 100 MM PARA ELETROCALHA METÁLICA, COM ÂNGULO 90° (REF.: MOPA OU SIMILAR)</v>
      </c>
      <c r="D2791" s="1047"/>
      <c r="E2791" s="1047"/>
      <c r="F2791" s="1047"/>
      <c r="G2791" s="377" t="str">
        <f>ORÇAMENTO!E558</f>
        <v xml:space="preserve">UN </v>
      </c>
      <c r="H2791" s="377">
        <f>H2792</f>
        <v>6</v>
      </c>
      <c r="I2791" s="379"/>
      <c r="J2791" s="377"/>
      <c r="K2791" s="379"/>
      <c r="L2791" s="377"/>
      <c r="M2791" s="379"/>
      <c r="N2791" s="377"/>
      <c r="O2791" s="379"/>
    </row>
    <row r="2792" spans="1:15" ht="12.75" customHeight="1">
      <c r="A2792" s="342"/>
      <c r="B2792" s="342"/>
      <c r="C2792" s="1073" t="s">
        <v>2168</v>
      </c>
      <c r="D2792" s="1073"/>
      <c r="E2792" s="1073"/>
      <c r="F2792" s="1073"/>
      <c r="G2792" s="343" t="s">
        <v>55</v>
      </c>
      <c r="H2792" s="617">
        <v>6</v>
      </c>
      <c r="I2792" s="617"/>
      <c r="J2792" s="617"/>
      <c r="K2792" s="618"/>
      <c r="L2792" s="618"/>
      <c r="M2792" s="618"/>
      <c r="N2792" s="700"/>
      <c r="O2792" s="700"/>
    </row>
    <row r="2793" spans="1:15" ht="25.5" customHeight="1">
      <c r="A2793" s="377">
        <f>ORÇAMENTO!A559</f>
        <v>9520</v>
      </c>
      <c r="B2793" s="377" t="str">
        <f>ORÇAMENTO!C559</f>
        <v>15.07.31</v>
      </c>
      <c r="C2793" s="1047" t="str">
        <f>ORÇAMENTO!D559</f>
        <v>CURVA DE INVERSÃO 300 X 100 MM PARA ELETROCALHA METÁLICA (REF.: MOPA OU SIMILAR)</v>
      </c>
      <c r="D2793" s="1047"/>
      <c r="E2793" s="1047"/>
      <c r="F2793" s="1047"/>
      <c r="G2793" s="377" t="str">
        <f>ORÇAMENTO!E559</f>
        <v xml:space="preserve">UN </v>
      </c>
      <c r="H2793" s="377">
        <f>H2794</f>
        <v>2</v>
      </c>
      <c r="I2793" s="379"/>
      <c r="J2793" s="377"/>
      <c r="K2793" s="379"/>
      <c r="L2793" s="377"/>
      <c r="M2793" s="379"/>
      <c r="N2793" s="377"/>
      <c r="O2793" s="379"/>
    </row>
    <row r="2794" spans="1:15" ht="12.75" customHeight="1">
      <c r="A2794" s="342"/>
      <c r="B2794" s="342"/>
      <c r="C2794" s="1073" t="s">
        <v>2168</v>
      </c>
      <c r="D2794" s="1073"/>
      <c r="E2794" s="1073"/>
      <c r="F2794" s="1073"/>
      <c r="G2794" s="343" t="s">
        <v>55</v>
      </c>
      <c r="H2794" s="617">
        <v>2</v>
      </c>
      <c r="I2794" s="617"/>
      <c r="J2794" s="617"/>
      <c r="K2794" s="618"/>
      <c r="L2794" s="618"/>
      <c r="M2794" s="618"/>
      <c r="N2794" s="700"/>
      <c r="O2794" s="700"/>
    </row>
    <row r="2795" spans="1:15" ht="25.5" customHeight="1">
      <c r="A2795" s="377">
        <f>ORÇAMENTO!A560</f>
        <v>8782</v>
      </c>
      <c r="B2795" s="377" t="str">
        <f>ORÇAMENTO!C560</f>
        <v>15.07.32</v>
      </c>
      <c r="C2795" s="1047" t="str">
        <f>ORÇAMENTO!D560</f>
        <v>TÊ HORIZONTAL 300 X 100 MM PARA ELETROCALHA METÁLICA (REF. MOPA OU SIMILAR)</v>
      </c>
      <c r="D2795" s="1047"/>
      <c r="E2795" s="1047"/>
      <c r="F2795" s="1047"/>
      <c r="G2795" s="377" t="str">
        <f>ORÇAMENTO!E560</f>
        <v xml:space="preserve">UN </v>
      </c>
      <c r="H2795" s="377">
        <f>H2796</f>
        <v>4</v>
      </c>
      <c r="I2795" s="379"/>
      <c r="J2795" s="377"/>
      <c r="K2795" s="379"/>
      <c r="L2795" s="377"/>
      <c r="M2795" s="379"/>
      <c r="N2795" s="377"/>
      <c r="O2795" s="379"/>
    </row>
    <row r="2796" spans="1:15" ht="12.75" customHeight="1">
      <c r="A2796" s="342"/>
      <c r="B2796" s="342"/>
      <c r="C2796" s="1073" t="s">
        <v>2168</v>
      </c>
      <c r="D2796" s="1073"/>
      <c r="E2796" s="1073"/>
      <c r="F2796" s="1073"/>
      <c r="G2796" s="343" t="s">
        <v>55</v>
      </c>
      <c r="H2796" s="617">
        <v>4</v>
      </c>
      <c r="I2796" s="617"/>
      <c r="J2796" s="617"/>
      <c r="K2796" s="618"/>
      <c r="L2796" s="618"/>
      <c r="M2796" s="618"/>
      <c r="N2796" s="700"/>
      <c r="O2796" s="700"/>
    </row>
    <row r="2797" spans="1:15" ht="28.5" customHeight="1">
      <c r="A2797" s="377">
        <f>ORÇAMENTO!A561</f>
        <v>8222</v>
      </c>
      <c r="B2797" s="377" t="str">
        <f>ORÇAMENTO!C561</f>
        <v>15.07.33</v>
      </c>
      <c r="C2797" s="1047" t="str">
        <f>ORÇAMENTO!D561</f>
        <v>CRUZETA 400 X 100 MM PARA ELETROCALHA PERFURADA METÁLICA (REF.: MOPA OU SIMILAR)</v>
      </c>
      <c r="D2797" s="1047"/>
      <c r="E2797" s="1047"/>
      <c r="F2797" s="1047"/>
      <c r="G2797" s="377" t="str">
        <f>ORÇAMENTO!E561</f>
        <v xml:space="preserve">UN </v>
      </c>
      <c r="H2797" s="377">
        <f>H2798</f>
        <v>3</v>
      </c>
      <c r="I2797" s="379"/>
      <c r="J2797" s="377"/>
      <c r="K2797" s="379"/>
      <c r="L2797" s="377"/>
      <c r="M2797" s="379"/>
      <c r="N2797" s="377"/>
      <c r="O2797" s="379"/>
    </row>
    <row r="2798" spans="1:15" ht="12.75" customHeight="1">
      <c r="A2798" s="342"/>
      <c r="B2798" s="342"/>
      <c r="C2798" s="1073" t="s">
        <v>2168</v>
      </c>
      <c r="D2798" s="1073"/>
      <c r="E2798" s="1073"/>
      <c r="F2798" s="1073"/>
      <c r="G2798" s="343" t="s">
        <v>55</v>
      </c>
      <c r="H2798" s="617">
        <v>3</v>
      </c>
      <c r="I2798" s="617"/>
      <c r="J2798" s="617"/>
      <c r="K2798" s="618"/>
      <c r="L2798" s="618"/>
      <c r="M2798" s="618"/>
      <c r="N2798" s="700"/>
      <c r="O2798" s="700"/>
    </row>
    <row r="2799" spans="1:15" ht="32.25" customHeight="1">
      <c r="A2799" s="377">
        <f>ORÇAMENTO!A562</f>
        <v>8783</v>
      </c>
      <c r="B2799" s="377" t="str">
        <f>ORÇAMENTO!C562</f>
        <v>15.07.34</v>
      </c>
      <c r="C2799" s="1047" t="str">
        <f>ORÇAMENTO!D562</f>
        <v>REDUÇÃO CONCÊNTRICA 300 X 100 X 100MM PARA ELETROCALHA METÁLICA (REF. MOPA OU SIMILAR)</v>
      </c>
      <c r="D2799" s="1047"/>
      <c r="E2799" s="1047"/>
      <c r="F2799" s="1047"/>
      <c r="G2799" s="377" t="str">
        <f>ORÇAMENTO!E562</f>
        <v xml:space="preserve">UN </v>
      </c>
      <c r="H2799" s="377">
        <f>H2800</f>
        <v>8</v>
      </c>
      <c r="I2799" s="379"/>
      <c r="J2799" s="377"/>
      <c r="K2799" s="379"/>
      <c r="L2799" s="377"/>
      <c r="M2799" s="379"/>
      <c r="N2799" s="377"/>
      <c r="O2799" s="379"/>
    </row>
    <row r="2800" spans="1:15" ht="12.75" customHeight="1">
      <c r="A2800" s="342"/>
      <c r="B2800" s="342"/>
      <c r="C2800" s="1073" t="s">
        <v>2168</v>
      </c>
      <c r="D2800" s="1073"/>
      <c r="E2800" s="1073"/>
      <c r="F2800" s="1073"/>
      <c r="G2800" s="343" t="s">
        <v>55</v>
      </c>
      <c r="H2800" s="617">
        <v>8</v>
      </c>
      <c r="I2800" s="617"/>
      <c r="J2800" s="617"/>
      <c r="K2800" s="618"/>
      <c r="L2800" s="618"/>
      <c r="M2800" s="618"/>
      <c r="N2800" s="700"/>
      <c r="O2800" s="700"/>
    </row>
    <row r="2801" spans="1:15" ht="33.75" customHeight="1">
      <c r="A2801" s="377">
        <f>ORÇAMENTO!A563</f>
        <v>7820</v>
      </c>
      <c r="B2801" s="377" t="str">
        <f>ORÇAMENTO!C563</f>
        <v>15.07.35</v>
      </c>
      <c r="C2801" s="1047" t="str">
        <f>ORÇAMENTO!D563</f>
        <v>JUNÇÃO PARA ELETROCALHA METÁLICA 100MM(REF. MOPA OU SIMILAR)</v>
      </c>
      <c r="D2801" s="1047"/>
      <c r="E2801" s="1047"/>
      <c r="F2801" s="1047"/>
      <c r="G2801" s="377" t="str">
        <f>ORÇAMENTO!E563</f>
        <v xml:space="preserve">UN </v>
      </c>
      <c r="H2801" s="377">
        <f>H2802</f>
        <v>32</v>
      </c>
      <c r="I2801" s="379"/>
      <c r="J2801" s="377"/>
      <c r="K2801" s="379"/>
      <c r="L2801" s="377"/>
      <c r="M2801" s="379"/>
      <c r="N2801" s="377"/>
      <c r="O2801" s="379"/>
    </row>
    <row r="2802" spans="1:15" ht="12.75" customHeight="1">
      <c r="A2802" s="342"/>
      <c r="B2802" s="342"/>
      <c r="C2802" s="1073" t="s">
        <v>2168</v>
      </c>
      <c r="D2802" s="1073"/>
      <c r="E2802" s="1073"/>
      <c r="F2802" s="1073"/>
      <c r="G2802" s="343" t="s">
        <v>55</v>
      </c>
      <c r="H2802" s="617">
        <v>32</v>
      </c>
      <c r="I2802" s="617"/>
      <c r="J2802" s="617"/>
      <c r="K2802" s="618"/>
      <c r="L2802" s="618"/>
      <c r="M2802" s="618"/>
      <c r="N2802" s="700"/>
      <c r="O2802" s="700"/>
    </row>
    <row r="2803" spans="1:15" ht="30" customHeight="1">
      <c r="A2803" s="377">
        <f>ORÇAMENTO!A564</f>
        <v>9669</v>
      </c>
      <c r="B2803" s="377" t="str">
        <f>ORÇAMENTO!C564</f>
        <v>15.07.36</v>
      </c>
      <c r="C2803" s="1047" t="str">
        <f>ORÇAMENTO!D564</f>
        <v>PERFILADO, PRÉ-ZINCADO A FOGO, PERFURADO 38 X 38 X 6000MM</v>
      </c>
      <c r="D2803" s="1047"/>
      <c r="E2803" s="1047"/>
      <c r="F2803" s="1047"/>
      <c r="G2803" s="377" t="str">
        <f>ORÇAMENTO!E564</f>
        <v xml:space="preserve">UN </v>
      </c>
      <c r="H2803" s="377">
        <f>H2804</f>
        <v>6</v>
      </c>
      <c r="I2803" s="379"/>
      <c r="J2803" s="377"/>
      <c r="K2803" s="379"/>
      <c r="L2803" s="377"/>
      <c r="M2803" s="379"/>
      <c r="N2803" s="377"/>
      <c r="O2803" s="379"/>
    </row>
    <row r="2804" spans="1:15" ht="12.75" customHeight="1">
      <c r="A2804" s="342"/>
      <c r="B2804" s="342"/>
      <c r="C2804" s="1073" t="s">
        <v>2168</v>
      </c>
      <c r="D2804" s="1073"/>
      <c r="E2804" s="1073"/>
      <c r="F2804" s="1073"/>
      <c r="G2804" s="343" t="s">
        <v>55</v>
      </c>
      <c r="H2804" s="617">
        <v>6</v>
      </c>
      <c r="I2804" s="617"/>
      <c r="J2804" s="617"/>
      <c r="K2804" s="618"/>
      <c r="L2804" s="618"/>
      <c r="M2804" s="618"/>
      <c r="N2804" s="700"/>
      <c r="O2804" s="700"/>
    </row>
    <row r="2805" spans="1:15" ht="23.25" customHeight="1">
      <c r="A2805" s="377">
        <f>ORÇAMENTO!A565</f>
        <v>9525</v>
      </c>
      <c r="B2805" s="377" t="str">
        <f>ORÇAMENTO!C565</f>
        <v>15.07.37</v>
      </c>
      <c r="C2805" s="1047" t="str">
        <f>ORÇAMENTO!D565</f>
        <v>SUPORTE HORIZONTAL 300 X 100 MM PARA FIXAÇÃO DE ELETROCALHA METÁLICA (REF.: MOPA OU SIMILAR)</v>
      </c>
      <c r="D2805" s="1047"/>
      <c r="E2805" s="1047"/>
      <c r="F2805" s="1047"/>
      <c r="G2805" s="377" t="str">
        <f>ORÇAMENTO!E565</f>
        <v xml:space="preserve">UN </v>
      </c>
      <c r="H2805" s="377">
        <f>H2806</f>
        <v>18</v>
      </c>
      <c r="I2805" s="379"/>
      <c r="J2805" s="377"/>
      <c r="K2805" s="379"/>
      <c r="L2805" s="377"/>
      <c r="M2805" s="379"/>
      <c r="N2805" s="377"/>
      <c r="O2805" s="379"/>
    </row>
    <row r="2806" spans="1:15" ht="12.75" customHeight="1">
      <c r="A2806" s="342"/>
      <c r="B2806" s="342"/>
      <c r="C2806" s="1073" t="s">
        <v>2168</v>
      </c>
      <c r="D2806" s="1073"/>
      <c r="E2806" s="1073"/>
      <c r="F2806" s="1073"/>
      <c r="G2806" s="343" t="s">
        <v>55</v>
      </c>
      <c r="H2806" s="617">
        <v>18</v>
      </c>
      <c r="I2806" s="617"/>
      <c r="J2806" s="617"/>
      <c r="K2806" s="618"/>
      <c r="L2806" s="618"/>
      <c r="M2806" s="618"/>
      <c r="N2806" s="700"/>
      <c r="O2806" s="700"/>
    </row>
    <row r="2807" spans="1:15" ht="31.5" customHeight="1">
      <c r="A2807" s="377">
        <f>ORÇAMENTO!A566</f>
        <v>12498</v>
      </c>
      <c r="B2807" s="377" t="str">
        <f>ORÇAMENTO!C566</f>
        <v>15.07.38</v>
      </c>
      <c r="C2807" s="1047" t="str">
        <f>ORÇAMENTO!D566</f>
        <v>BARRA ROSCADA BICROMATIZADA Ø 3/8" X 3000MM</v>
      </c>
      <c r="D2807" s="1047"/>
      <c r="E2807" s="1047"/>
      <c r="F2807" s="1047"/>
      <c r="G2807" s="377" t="str">
        <f>ORÇAMENTO!E566</f>
        <v xml:space="preserve">UN </v>
      </c>
      <c r="H2807" s="377">
        <f>H2808</f>
        <v>12</v>
      </c>
      <c r="I2807" s="379"/>
      <c r="J2807" s="377"/>
      <c r="K2807" s="379"/>
      <c r="L2807" s="377"/>
      <c r="M2807" s="379"/>
      <c r="N2807" s="377"/>
      <c r="O2807" s="379"/>
    </row>
    <row r="2808" spans="1:15" ht="12.75" customHeight="1">
      <c r="A2808" s="342"/>
      <c r="B2808" s="342"/>
      <c r="C2808" s="1073" t="s">
        <v>2168</v>
      </c>
      <c r="D2808" s="1073"/>
      <c r="E2808" s="1073"/>
      <c r="F2808" s="1073"/>
      <c r="G2808" s="343" t="s">
        <v>96</v>
      </c>
      <c r="H2808" s="617">
        <v>12</v>
      </c>
      <c r="I2808" s="617"/>
      <c r="J2808" s="617"/>
      <c r="K2808" s="618"/>
      <c r="L2808" s="618"/>
      <c r="M2808" s="618"/>
      <c r="N2808" s="700"/>
      <c r="O2808" s="700"/>
    </row>
    <row r="2809" spans="1:15" ht="12.75" customHeight="1">
      <c r="A2809" s="377">
        <f>ORÇAMENTO!A567</f>
        <v>4190</v>
      </c>
      <c r="B2809" s="377" t="str">
        <f>ORÇAMENTO!C567</f>
        <v>15.07.39</v>
      </c>
      <c r="C2809" s="1047" t="str">
        <f>ORÇAMENTO!D567</f>
        <v>CHUMBADOR PARABOLT INOX 3/8" X 5", FORNECIMENTO</v>
      </c>
      <c r="D2809" s="1047"/>
      <c r="E2809" s="1047"/>
      <c r="F2809" s="1047"/>
      <c r="G2809" s="377" t="str">
        <f>ORÇAMENTO!E567</f>
        <v xml:space="preserve">UN </v>
      </c>
      <c r="H2809" s="377">
        <f>H2810</f>
        <v>60</v>
      </c>
      <c r="I2809" s="379"/>
      <c r="J2809" s="377"/>
      <c r="K2809" s="379"/>
      <c r="L2809" s="377"/>
      <c r="M2809" s="379"/>
      <c r="N2809" s="377"/>
      <c r="O2809" s="379"/>
    </row>
    <row r="2810" spans="1:15" ht="12.75" customHeight="1">
      <c r="A2810" s="342"/>
      <c r="B2810" s="342"/>
      <c r="C2810" s="1073" t="s">
        <v>2168</v>
      </c>
      <c r="D2810" s="1073"/>
      <c r="E2810" s="1073"/>
      <c r="F2810" s="1073"/>
      <c r="G2810" s="343" t="s">
        <v>55</v>
      </c>
      <c r="H2810" s="617">
        <v>60</v>
      </c>
      <c r="I2810" s="617"/>
      <c r="J2810" s="617"/>
      <c r="K2810" s="618"/>
      <c r="L2810" s="618"/>
      <c r="M2810" s="618"/>
      <c r="N2810" s="700"/>
      <c r="O2810" s="700"/>
    </row>
    <row r="2811" spans="1:15" ht="25.5" customHeight="1">
      <c r="A2811" s="377">
        <f>ORÇAMENTO!A568</f>
        <v>721</v>
      </c>
      <c r="B2811" s="377" t="str">
        <f>ORÇAMENTO!C568</f>
        <v>15.07.40</v>
      </c>
      <c r="C2811" s="1047" t="str">
        <f>ORÇAMENTO!D568</f>
        <v>FORNECIMENTO E INSTALAÇÃO DE PORCA SEXTAVADA 3/8" (REF VL 1.55 VALEMAM OU SIMILAR)</v>
      </c>
      <c r="D2811" s="1047"/>
      <c r="E2811" s="1047"/>
      <c r="F2811" s="1047"/>
      <c r="G2811" s="377" t="str">
        <f>ORÇAMENTO!E568</f>
        <v xml:space="preserve">UN </v>
      </c>
      <c r="H2811" s="377">
        <f>H2812</f>
        <v>60</v>
      </c>
      <c r="I2811" s="379"/>
      <c r="J2811" s="377"/>
      <c r="K2811" s="379"/>
      <c r="L2811" s="377"/>
      <c r="M2811" s="379"/>
      <c r="N2811" s="377"/>
      <c r="O2811" s="379"/>
    </row>
    <row r="2812" spans="1:15" ht="12.75" customHeight="1">
      <c r="A2812" s="342"/>
      <c r="B2812" s="342"/>
      <c r="C2812" s="1073" t="s">
        <v>2168</v>
      </c>
      <c r="D2812" s="1073"/>
      <c r="E2812" s="1073"/>
      <c r="F2812" s="1073"/>
      <c r="G2812" s="343" t="s">
        <v>55</v>
      </c>
      <c r="H2812" s="617">
        <v>60</v>
      </c>
      <c r="I2812" s="617"/>
      <c r="J2812" s="617"/>
      <c r="K2812" s="618"/>
      <c r="L2812" s="618"/>
      <c r="M2812" s="618"/>
      <c r="N2812" s="700"/>
      <c r="O2812" s="700"/>
    </row>
    <row r="2813" spans="1:15" ht="12.75" customHeight="1">
      <c r="A2813" s="377">
        <f>ORÇAMENTO!A569</f>
        <v>12506</v>
      </c>
      <c r="B2813" s="377" t="str">
        <f>ORÇAMENTO!C569</f>
        <v>15.07.41</v>
      </c>
      <c r="C2813" s="1047" t="str">
        <f>ORÇAMENTO!D569</f>
        <v>ARRUELA LISA DE 3/8"</v>
      </c>
      <c r="D2813" s="1047"/>
      <c r="E2813" s="1047"/>
      <c r="F2813" s="1047"/>
      <c r="G2813" s="377" t="str">
        <f>ORÇAMENTO!E569</f>
        <v xml:space="preserve">UN </v>
      </c>
      <c r="H2813" s="377">
        <f>H2814</f>
        <v>120</v>
      </c>
      <c r="I2813" s="379"/>
      <c r="J2813" s="377"/>
      <c r="K2813" s="379"/>
      <c r="L2813" s="377"/>
      <c r="M2813" s="379"/>
      <c r="N2813" s="377"/>
      <c r="O2813" s="379"/>
    </row>
    <row r="2814" spans="1:15" ht="12.75" customHeight="1">
      <c r="A2814" s="342"/>
      <c r="B2814" s="342"/>
      <c r="C2814" s="1073" t="s">
        <v>2168</v>
      </c>
      <c r="D2814" s="1073"/>
      <c r="E2814" s="1073"/>
      <c r="F2814" s="1073"/>
      <c r="G2814" s="343" t="s">
        <v>55</v>
      </c>
      <c r="H2814" s="617">
        <v>120</v>
      </c>
      <c r="I2814" s="617"/>
      <c r="J2814" s="617"/>
      <c r="K2814" s="618"/>
      <c r="L2814" s="618"/>
      <c r="M2814" s="618"/>
      <c r="N2814" s="700"/>
      <c r="O2814" s="700"/>
    </row>
    <row r="2815" spans="1:15" ht="24" customHeight="1">
      <c r="A2815" s="377">
        <f>ORÇAMENTO!A570</f>
        <v>12494</v>
      </c>
      <c r="B2815" s="377" t="str">
        <f>ORÇAMENTO!C570</f>
        <v>15.07.42</v>
      </c>
      <c r="C2815" s="1047" t="str">
        <f>ORÇAMENTO!D570</f>
        <v>PARAFUSO CABEÇA LENTILHA AUTO-TRAVANTE 1/4" X 3/4", BICROMATIZADA</v>
      </c>
      <c r="D2815" s="1047"/>
      <c r="E2815" s="1047"/>
      <c r="F2815" s="1047"/>
      <c r="G2815" s="377" t="str">
        <f>ORÇAMENTO!E570</f>
        <v xml:space="preserve">UN </v>
      </c>
      <c r="H2815" s="377">
        <f>H2816</f>
        <v>170</v>
      </c>
      <c r="I2815" s="379"/>
      <c r="J2815" s="377"/>
      <c r="K2815" s="379"/>
      <c r="L2815" s="377"/>
      <c r="M2815" s="379"/>
      <c r="N2815" s="377"/>
      <c r="O2815" s="379"/>
    </row>
    <row r="2816" spans="1:15" ht="12.75" customHeight="1">
      <c r="A2816" s="342"/>
      <c r="B2816" s="342"/>
      <c r="C2816" s="1073" t="s">
        <v>2168</v>
      </c>
      <c r="D2816" s="1073"/>
      <c r="E2816" s="1073"/>
      <c r="F2816" s="1073"/>
      <c r="G2816" s="343" t="s">
        <v>55</v>
      </c>
      <c r="H2816" s="617">
        <v>170</v>
      </c>
      <c r="I2816" s="617"/>
      <c r="J2816" s="617"/>
      <c r="K2816" s="618"/>
      <c r="L2816" s="618"/>
      <c r="M2816" s="618"/>
      <c r="N2816" s="700"/>
      <c r="O2816" s="700"/>
    </row>
    <row r="2817" spans="1:15" ht="27.75" customHeight="1">
      <c r="A2817" s="377">
        <f>ORÇAMENTO!A571</f>
        <v>9816</v>
      </c>
      <c r="B2817" s="377" t="str">
        <f>ORÇAMENTO!C571</f>
        <v>15.07.43</v>
      </c>
      <c r="C2817" s="1047" t="str">
        <f>ORÇAMENTO!D571</f>
        <v>ARRUELA LISA ZINCADA D=1/4"</v>
      </c>
      <c r="D2817" s="1047"/>
      <c r="E2817" s="1047"/>
      <c r="F2817" s="1047"/>
      <c r="G2817" s="377" t="str">
        <f>ORÇAMENTO!E571</f>
        <v xml:space="preserve">UN </v>
      </c>
      <c r="H2817" s="377">
        <f>H2818</f>
        <v>320</v>
      </c>
      <c r="I2817" s="379"/>
      <c r="J2817" s="377"/>
      <c r="K2817" s="379"/>
      <c r="L2817" s="377"/>
      <c r="M2817" s="379"/>
      <c r="N2817" s="377"/>
      <c r="O2817" s="379"/>
    </row>
    <row r="2818" spans="1:15" ht="12.75" customHeight="1">
      <c r="A2818" s="342"/>
      <c r="B2818" s="342"/>
      <c r="C2818" s="1073" t="s">
        <v>2168</v>
      </c>
      <c r="D2818" s="1073"/>
      <c r="E2818" s="1073"/>
      <c r="F2818" s="1073"/>
      <c r="G2818" s="343" t="s">
        <v>55</v>
      </c>
      <c r="H2818" s="617">
        <v>320</v>
      </c>
      <c r="I2818" s="617"/>
      <c r="J2818" s="617"/>
      <c r="K2818" s="618"/>
      <c r="L2818" s="618"/>
      <c r="M2818" s="618"/>
      <c r="N2818" s="700"/>
      <c r="O2818" s="700"/>
    </row>
    <row r="2819" spans="1:15" ht="12.75" customHeight="1">
      <c r="A2819" s="377">
        <f>ORÇAMENTO!A572</f>
        <v>9832</v>
      </c>
      <c r="B2819" s="377" t="str">
        <f>ORÇAMENTO!C572</f>
        <v>15.07.44</v>
      </c>
      <c r="C2819" s="1047" t="str">
        <f>ORÇAMENTO!D572</f>
        <v>PORCA SEXTAVADA ZINCADA 1/4" (FORNECIMENTO E COLOCAÇÃO)</v>
      </c>
      <c r="D2819" s="1047"/>
      <c r="E2819" s="1047"/>
      <c r="F2819" s="1047"/>
      <c r="G2819" s="377" t="str">
        <f>ORÇAMENTO!E572</f>
        <v xml:space="preserve">UN </v>
      </c>
      <c r="H2819" s="377">
        <f>H2820</f>
        <v>320</v>
      </c>
      <c r="I2819" s="379"/>
      <c r="J2819" s="377"/>
      <c r="K2819" s="379"/>
      <c r="L2819" s="377"/>
      <c r="M2819" s="379"/>
      <c r="N2819" s="377"/>
      <c r="O2819" s="379"/>
    </row>
    <row r="2820" spans="1:15" ht="12.75" customHeight="1">
      <c r="A2820" s="342"/>
      <c r="B2820" s="342"/>
      <c r="C2820" s="1073" t="s">
        <v>2168</v>
      </c>
      <c r="D2820" s="1073"/>
      <c r="E2820" s="1073"/>
      <c r="F2820" s="1073"/>
      <c r="G2820" s="343" t="s">
        <v>55</v>
      </c>
      <c r="H2820" s="617">
        <v>320</v>
      </c>
      <c r="I2820" s="617"/>
      <c r="J2820" s="617"/>
      <c r="K2820" s="618"/>
      <c r="L2820" s="618"/>
      <c r="M2820" s="618"/>
      <c r="N2820" s="700"/>
      <c r="O2820" s="700"/>
    </row>
    <row r="2821" spans="1:15" ht="31.5" customHeight="1">
      <c r="A2821" s="377">
        <f>ORÇAMENTO!A573</f>
        <v>7138</v>
      </c>
      <c r="B2821" s="377" t="str">
        <f>ORÇAMENTO!C573</f>
        <v>15.07.45</v>
      </c>
      <c r="C2821" s="1047" t="str">
        <f>ORÇAMENTO!D573</f>
        <v>FORNECIMENTO E LANÇAMENTO DE CABO UTP 4 PARES CAT 6</v>
      </c>
      <c r="D2821" s="1047"/>
      <c r="E2821" s="1047"/>
      <c r="F2821" s="1047"/>
      <c r="G2821" s="377" t="str">
        <f>ORÇAMENTO!E573</f>
        <v>M</v>
      </c>
      <c r="H2821" s="395">
        <f>H2822</f>
        <v>7533.0959999999995</v>
      </c>
      <c r="I2821" s="379"/>
      <c r="J2821" s="377"/>
      <c r="K2821" s="379"/>
      <c r="L2821" s="377"/>
      <c r="M2821" s="379"/>
      <c r="N2821" s="377"/>
      <c r="O2821" s="379"/>
    </row>
    <row r="2822" spans="1:15" ht="12.75" customHeight="1">
      <c r="A2822" s="342"/>
      <c r="B2822" s="342"/>
      <c r="C2822" s="1073" t="s">
        <v>2168</v>
      </c>
      <c r="D2822" s="1073"/>
      <c r="E2822" s="1073"/>
      <c r="F2822" s="1073"/>
      <c r="G2822" s="343" t="s">
        <v>246</v>
      </c>
      <c r="H2822" s="588">
        <f>6277.58*1.2</f>
        <v>7533.0959999999995</v>
      </c>
      <c r="I2822" s="617"/>
      <c r="J2822" s="617"/>
      <c r="K2822" s="618"/>
      <c r="L2822" s="618"/>
      <c r="M2822" s="618"/>
      <c r="N2822" s="700"/>
      <c r="O2822" s="700"/>
    </row>
    <row r="2823" spans="1:15" ht="32.25" customHeight="1">
      <c r="A2823" s="377">
        <f>ORÇAMENTO!A574</f>
        <v>9277</v>
      </c>
      <c r="B2823" s="377" t="str">
        <f>ORÇAMENTO!C574</f>
        <v>15.07.46</v>
      </c>
      <c r="C2823" s="1047" t="str">
        <f>ORÇAMENTO!D574</f>
        <v>FITA METÁLICA PERFURADA</v>
      </c>
      <c r="D2823" s="1047"/>
      <c r="E2823" s="1047"/>
      <c r="F2823" s="1047"/>
      <c r="G2823" s="377" t="str">
        <f>ORÇAMENTO!E574</f>
        <v>M</v>
      </c>
      <c r="H2823" s="377">
        <f>H2824</f>
        <v>20</v>
      </c>
      <c r="I2823" s="379"/>
      <c r="J2823" s="377"/>
      <c r="K2823" s="379"/>
      <c r="L2823" s="377"/>
      <c r="M2823" s="379"/>
      <c r="N2823" s="377"/>
      <c r="O2823" s="379"/>
    </row>
    <row r="2824" spans="1:15" ht="12.75" customHeight="1">
      <c r="A2824" s="342"/>
      <c r="B2824" s="342"/>
      <c r="C2824" s="1073" t="s">
        <v>2168</v>
      </c>
      <c r="D2824" s="1073"/>
      <c r="E2824" s="1073"/>
      <c r="F2824" s="1073"/>
      <c r="G2824" s="343" t="s">
        <v>246</v>
      </c>
      <c r="H2824" s="617">
        <v>20</v>
      </c>
      <c r="I2824" s="617"/>
      <c r="J2824" s="617"/>
      <c r="K2824" s="618"/>
      <c r="L2824" s="618"/>
      <c r="M2824" s="618"/>
      <c r="N2824" s="700"/>
      <c r="O2824" s="700"/>
    </row>
    <row r="2825" spans="1:15" ht="31.5" customHeight="1">
      <c r="A2825" s="377">
        <f>ORÇAMENTO!A575</f>
        <v>4000</v>
      </c>
      <c r="B2825" s="377" t="str">
        <f>ORÇAMENTO!C575</f>
        <v>15.07.47</v>
      </c>
      <c r="C2825" s="1047" t="str">
        <f>ORÇAMENTO!D575</f>
        <v>FECHO PARA FITA AÇO INOX 3/4 E 1/2", FUSIMEC OU SIMILAR - FORNECIMENTO</v>
      </c>
      <c r="D2825" s="1047"/>
      <c r="E2825" s="1047"/>
      <c r="F2825" s="1047"/>
      <c r="G2825" s="377" t="str">
        <f>ORÇAMENTO!E575</f>
        <v xml:space="preserve">UN </v>
      </c>
      <c r="H2825" s="377">
        <f>H2826</f>
        <v>2</v>
      </c>
      <c r="I2825" s="379"/>
      <c r="J2825" s="377"/>
      <c r="K2825" s="379"/>
      <c r="L2825" s="377"/>
      <c r="M2825" s="379"/>
      <c r="N2825" s="377"/>
      <c r="O2825" s="379"/>
    </row>
    <row r="2826" spans="1:15" ht="12.75" customHeight="1">
      <c r="A2826" s="342"/>
      <c r="B2826" s="342"/>
      <c r="C2826" s="1073" t="s">
        <v>2168</v>
      </c>
      <c r="D2826" s="1073"/>
      <c r="E2826" s="1073"/>
      <c r="F2826" s="1073"/>
      <c r="G2826" s="343" t="s">
        <v>55</v>
      </c>
      <c r="H2826" s="617">
        <v>2</v>
      </c>
      <c r="I2826" s="617"/>
      <c r="J2826" s="617"/>
      <c r="K2826" s="618"/>
      <c r="L2826" s="618"/>
      <c r="M2826" s="618"/>
      <c r="N2826" s="700"/>
      <c r="O2826" s="700"/>
    </row>
    <row r="2827" spans="1:15" ht="42" customHeight="1">
      <c r="A2827" s="377">
        <f>ORÇAMENTO!A576</f>
        <v>3770</v>
      </c>
      <c r="B2827" s="377" t="str">
        <f>ORÇAMENTO!C576</f>
        <v>15.07.48</v>
      </c>
      <c r="C2827" s="1047" t="str">
        <f>ORÇAMENTO!D576</f>
        <v>DUTO CORRUGADO FLEXÍVEL EM PEAD Ø = 1.1/4', TIPO KANALEX OU SIMILAR, LANÇADO DIRETAMENTE NO SOLO, EXCLUSIVE ESCAVAÇÃO E REATERRO</v>
      </c>
      <c r="D2827" s="1047"/>
      <c r="E2827" s="1047"/>
      <c r="F2827" s="1047"/>
      <c r="G2827" s="377" t="str">
        <f>ORÇAMENTO!E576</f>
        <v>M</v>
      </c>
      <c r="H2827" s="377">
        <f>H2828</f>
        <v>32.4</v>
      </c>
      <c r="I2827" s="379"/>
      <c r="J2827" s="377"/>
      <c r="K2827" s="379"/>
      <c r="L2827" s="377"/>
      <c r="M2827" s="379"/>
      <c r="N2827" s="377"/>
      <c r="O2827" s="379"/>
    </row>
    <row r="2828" spans="1:15" ht="12.75" customHeight="1">
      <c r="A2828" s="342"/>
      <c r="B2828" s="342"/>
      <c r="C2828" s="1073" t="s">
        <v>2168</v>
      </c>
      <c r="D2828" s="1073"/>
      <c r="E2828" s="1073"/>
      <c r="F2828" s="1073"/>
      <c r="G2828" s="343" t="s">
        <v>246</v>
      </c>
      <c r="H2828" s="617">
        <f>27*1.2</f>
        <v>32.4</v>
      </c>
      <c r="I2828" s="617"/>
      <c r="J2828" s="617"/>
      <c r="K2828" s="618"/>
      <c r="L2828" s="618"/>
      <c r="M2828" s="618"/>
      <c r="N2828" s="700"/>
      <c r="O2828" s="700"/>
    </row>
    <row r="2829" spans="1:15">
      <c r="A2829" s="1074"/>
      <c r="B2829" s="1074"/>
      <c r="C2829" s="1074"/>
      <c r="D2829" s="1074"/>
      <c r="E2829" s="1074"/>
      <c r="F2829" s="1074"/>
      <c r="G2829" s="1074"/>
      <c r="H2829" s="1074"/>
      <c r="I2829" s="1074"/>
      <c r="J2829" s="1074"/>
      <c r="K2829" s="1074"/>
      <c r="L2829" s="1074"/>
      <c r="M2829" s="1074"/>
      <c r="N2829" s="1074"/>
      <c r="O2829" s="1074"/>
    </row>
    <row r="2830" spans="1:15" ht="12.75" customHeight="1">
      <c r="A2830" s="373" t="s">
        <v>11</v>
      </c>
      <c r="B2830" s="375" t="s">
        <v>13</v>
      </c>
      <c r="C2830" s="1007" t="s">
        <v>1443</v>
      </c>
      <c r="D2830" s="1007"/>
      <c r="E2830" s="1007"/>
      <c r="F2830" s="1007"/>
      <c r="G2830" s="375" t="s">
        <v>15</v>
      </c>
      <c r="H2830" s="375" t="s">
        <v>1444</v>
      </c>
      <c r="I2830" s="375" t="s">
        <v>1445</v>
      </c>
      <c r="J2830" s="375" t="s">
        <v>1446</v>
      </c>
      <c r="K2830" s="375" t="s">
        <v>1447</v>
      </c>
      <c r="L2830" s="375" t="s">
        <v>1448</v>
      </c>
      <c r="M2830" s="375" t="s">
        <v>1457</v>
      </c>
      <c r="N2830" s="375" t="s">
        <v>1450</v>
      </c>
      <c r="O2830" s="375" t="s">
        <v>1451</v>
      </c>
    </row>
    <row r="2831" spans="1:15">
      <c r="A2831" s="376"/>
      <c r="B2831" s="376" t="str">
        <f>ORÇAMENTO!C577</f>
        <v>15.08</v>
      </c>
      <c r="C2831" s="1075" t="str">
        <f>ORÇAMENTO!D577</f>
        <v>CFTV</v>
      </c>
      <c r="D2831" s="1075"/>
      <c r="E2831" s="1075"/>
      <c r="F2831" s="1075"/>
      <c r="G2831" s="1072"/>
      <c r="H2831" s="1072"/>
      <c r="I2831" s="1072"/>
      <c r="J2831" s="1072"/>
      <c r="K2831" s="1072"/>
      <c r="L2831" s="1072"/>
      <c r="M2831" s="1072"/>
      <c r="N2831" s="1072"/>
      <c r="O2831" s="1072"/>
    </row>
    <row r="2832" spans="1:15" ht="27" customHeight="1">
      <c r="A2832" s="377" t="str">
        <f>ORÇAMENTO!A578</f>
        <v>I-06698</v>
      </c>
      <c r="B2832" s="377" t="str">
        <f>ORÇAMENTO!C578</f>
        <v>15.08.01</v>
      </c>
      <c r="C2832" s="1071" t="str">
        <f>ORÇAMENTO!D578</f>
        <v>TÉCNICO EM INFORMÁTICA - 40H - REV 02"</v>
      </c>
      <c r="D2832" s="1071"/>
      <c r="E2832" s="1071"/>
      <c r="F2832" s="1071"/>
      <c r="G2832" s="377" t="str">
        <f>ORÇAMENTO!E578</f>
        <v>H</v>
      </c>
      <c r="H2832" s="383">
        <f>H2833</f>
        <v>160</v>
      </c>
      <c r="I2832" s="379"/>
      <c r="J2832" s="380"/>
      <c r="K2832" s="379"/>
      <c r="L2832" s="380"/>
      <c r="M2832" s="379"/>
      <c r="N2832" s="380"/>
      <c r="O2832" s="379"/>
    </row>
    <row r="2833" spans="1:15">
      <c r="A2833" s="342"/>
      <c r="B2833" s="342"/>
      <c r="C2833" s="1027" t="s">
        <v>2172</v>
      </c>
      <c r="D2833" s="1027"/>
      <c r="E2833" s="1027"/>
      <c r="F2833" s="1027"/>
      <c r="G2833" s="343" t="s">
        <v>40</v>
      </c>
      <c r="H2833" s="584">
        <f>2*5*8*2</f>
        <v>160</v>
      </c>
      <c r="I2833" s="582"/>
      <c r="J2833" s="582"/>
      <c r="K2833" s="583"/>
      <c r="L2833" s="583"/>
      <c r="M2833" s="583"/>
      <c r="N2833" s="589"/>
      <c r="O2833" s="589"/>
    </row>
    <row r="2834" spans="1:15">
      <c r="A2834" s="377">
        <f>ORÇAMENTO!A579</f>
        <v>8362</v>
      </c>
      <c r="B2834" s="377" t="str">
        <f>ORÇAMENTO!C579</f>
        <v>15.08.02</v>
      </c>
      <c r="C2834" s="1071" t="str">
        <f>ORÇAMENTO!D579</f>
        <v>FORNECIMENTO E MONTAGEM DE GUIA DE CABOS HORIZONTAIS FECHADO DE CORPO DE AÇO SAE 1020, PROF=40MM</v>
      </c>
      <c r="D2834" s="1071"/>
      <c r="E2834" s="1071"/>
      <c r="F2834" s="1071"/>
      <c r="G2834" s="377" t="str">
        <f>ORÇAMENTO!E579</f>
        <v xml:space="preserve">UN </v>
      </c>
      <c r="H2834" s="383">
        <f>H2835</f>
        <v>5</v>
      </c>
      <c r="I2834" s="379"/>
      <c r="J2834" s="380"/>
      <c r="K2834" s="379"/>
      <c r="L2834" s="380"/>
      <c r="M2834" s="379"/>
      <c r="N2834" s="380"/>
      <c r="O2834" s="379"/>
    </row>
    <row r="2835" spans="1:15" s="129" customFormat="1">
      <c r="A2835" s="337"/>
      <c r="B2835" s="337"/>
      <c r="C2835" s="1002" t="s">
        <v>2173</v>
      </c>
      <c r="D2835" s="1002"/>
      <c r="E2835" s="1002"/>
      <c r="F2835" s="1002"/>
      <c r="G2835" s="389"/>
      <c r="H2835" s="584">
        <v>5</v>
      </c>
      <c r="I2835" s="582"/>
      <c r="J2835" s="582"/>
      <c r="K2835" s="583"/>
      <c r="L2835" s="583"/>
      <c r="M2835" s="583"/>
      <c r="N2835" s="589"/>
      <c r="O2835" s="589"/>
    </row>
    <row r="2836" spans="1:15" ht="29.25" customHeight="1">
      <c r="A2836" s="377">
        <f>ORÇAMENTO!A580</f>
        <v>10268</v>
      </c>
      <c r="B2836" s="377" t="str">
        <f>ORÇAMENTO!C580</f>
        <v>15.08.03</v>
      </c>
      <c r="C2836" s="1071" t="str">
        <f>ORÇAMENTO!D580</f>
        <v>FORNECIMENTO E INSTALAÇÃO DE PATCH CORD, CAT. 6, C/ 2,50 M - REV. 02</v>
      </c>
      <c r="D2836" s="1071"/>
      <c r="E2836" s="1071"/>
      <c r="F2836" s="1071"/>
      <c r="G2836" s="377" t="str">
        <f>ORÇAMENTO!E580</f>
        <v xml:space="preserve">UN </v>
      </c>
      <c r="H2836" s="383">
        <f>H2837</f>
        <v>60</v>
      </c>
      <c r="I2836" s="379"/>
      <c r="J2836" s="380"/>
      <c r="K2836" s="379"/>
      <c r="L2836" s="380"/>
      <c r="M2836" s="379"/>
      <c r="N2836" s="380"/>
      <c r="O2836" s="379"/>
    </row>
    <row r="2837" spans="1:15" s="129" customFormat="1" ht="12.75" customHeight="1">
      <c r="A2837" s="337"/>
      <c r="B2837" s="337"/>
      <c r="C2837" s="1062" t="s">
        <v>2174</v>
      </c>
      <c r="D2837" s="1062"/>
      <c r="E2837" s="1062"/>
      <c r="F2837" s="1062"/>
      <c r="G2837" s="389" t="s">
        <v>55</v>
      </c>
      <c r="H2837" s="584">
        <v>60</v>
      </c>
      <c r="I2837" s="582"/>
      <c r="J2837" s="582"/>
      <c r="K2837" s="583"/>
      <c r="L2837" s="583"/>
      <c r="M2837" s="583"/>
      <c r="N2837" s="589"/>
      <c r="O2837" s="589"/>
    </row>
    <row r="2838" spans="1:15" ht="28.5" customHeight="1">
      <c r="A2838" s="377">
        <f>ORÇAMENTO!A581</f>
        <v>11417</v>
      </c>
      <c r="B2838" s="377" t="str">
        <f>ORÇAMENTO!C581</f>
        <v>15.08.04</v>
      </c>
      <c r="C2838" s="1047" t="str">
        <f>ORÇAMENTO!D581</f>
        <v>BANDEJA PARA RACK 19", DESLIZANTE, PERFURADA, 400MM DE PROFUNDIDADE</v>
      </c>
      <c r="D2838" s="1047"/>
      <c r="E2838" s="1047"/>
      <c r="F2838" s="1047"/>
      <c r="G2838" s="377" t="str">
        <f>ORÇAMENTO!E581</f>
        <v xml:space="preserve">UN </v>
      </c>
      <c r="H2838" s="383">
        <f>H2839</f>
        <v>4</v>
      </c>
      <c r="I2838" s="379"/>
      <c r="J2838" s="380"/>
      <c r="K2838" s="379"/>
      <c r="L2838" s="380"/>
      <c r="M2838" s="379"/>
      <c r="N2838" s="380"/>
      <c r="O2838" s="379"/>
    </row>
    <row r="2839" spans="1:15" s="129" customFormat="1" ht="12.75" customHeight="1">
      <c r="A2839" s="337"/>
      <c r="B2839" s="337"/>
      <c r="C2839" s="1062" t="s">
        <v>2175</v>
      </c>
      <c r="D2839" s="1062"/>
      <c r="E2839" s="1062"/>
      <c r="F2839" s="1062"/>
      <c r="G2839" s="389" t="s">
        <v>55</v>
      </c>
      <c r="H2839" s="584">
        <v>4</v>
      </c>
      <c r="I2839" s="582"/>
      <c r="J2839" s="582"/>
      <c r="K2839" s="583"/>
      <c r="L2839" s="583"/>
      <c r="M2839" s="583"/>
      <c r="N2839" s="589"/>
      <c r="O2839" s="589"/>
    </row>
    <row r="2840" spans="1:15">
      <c r="A2840" s="377">
        <f>ORÇAMENTO!A582</f>
        <v>11242</v>
      </c>
      <c r="B2840" s="377" t="str">
        <f>ORÇAMENTO!C582</f>
        <v>15.08.05</v>
      </c>
      <c r="C2840" s="1047" t="str">
        <f>ORÇAMENTO!D582</f>
        <v>FORNECIMENTO E INSTALAÇÃO DE CONECTOR RJ 45 MACHO CAT 6</v>
      </c>
      <c r="D2840" s="1047"/>
      <c r="E2840" s="1047"/>
      <c r="F2840" s="1047"/>
      <c r="G2840" s="377" t="str">
        <f>ORÇAMENTO!E582</f>
        <v xml:space="preserve">UN </v>
      </c>
      <c r="H2840" s="383">
        <f>H2841</f>
        <v>73</v>
      </c>
      <c r="I2840" s="379"/>
      <c r="J2840" s="380"/>
      <c r="K2840" s="379"/>
      <c r="L2840" s="380"/>
      <c r="M2840" s="379"/>
      <c r="N2840" s="380"/>
      <c r="O2840" s="379"/>
    </row>
    <row r="2841" spans="1:15" s="129" customFormat="1" ht="12.75" customHeight="1">
      <c r="A2841" s="337"/>
      <c r="B2841" s="337"/>
      <c r="C2841" s="1062" t="s">
        <v>2176</v>
      </c>
      <c r="D2841" s="1062"/>
      <c r="E2841" s="1062"/>
      <c r="F2841" s="1062"/>
      <c r="G2841" s="389" t="s">
        <v>55</v>
      </c>
      <c r="H2841" s="584">
        <v>73</v>
      </c>
      <c r="I2841" s="582"/>
      <c r="J2841" s="582"/>
      <c r="K2841" s="583"/>
      <c r="L2841" s="583"/>
      <c r="M2841" s="583"/>
      <c r="N2841" s="589"/>
      <c r="O2841" s="589"/>
    </row>
    <row r="2842" spans="1:15">
      <c r="A2842" s="377">
        <f>ORÇAMENTO!A583</f>
        <v>7138</v>
      </c>
      <c r="B2842" s="377" t="str">
        <f>ORÇAMENTO!C583</f>
        <v>15.08.06</v>
      </c>
      <c r="C2842" s="1047" t="str">
        <f>ORÇAMENTO!D583</f>
        <v>FORNECIMENTO E LANÇAMENTO DE CABO UTP 4 PARES CAT 6</v>
      </c>
      <c r="D2842" s="1047"/>
      <c r="E2842" s="1047"/>
      <c r="F2842" s="1047"/>
      <c r="G2842" s="377" t="str">
        <f>ORÇAMENTO!E583</f>
        <v>M</v>
      </c>
      <c r="H2842" s="383">
        <f>H2843</f>
        <v>2760</v>
      </c>
      <c r="I2842" s="379"/>
      <c r="J2842" s="380"/>
      <c r="K2842" s="379"/>
      <c r="L2842" s="380"/>
      <c r="M2842" s="379"/>
      <c r="N2842" s="380"/>
      <c r="O2842" s="379"/>
    </row>
    <row r="2843" spans="1:15" s="129" customFormat="1" ht="12.75" customHeight="1">
      <c r="A2843" s="337"/>
      <c r="B2843" s="337"/>
      <c r="C2843" s="1062" t="s">
        <v>2177</v>
      </c>
      <c r="D2843" s="1062"/>
      <c r="E2843" s="1062"/>
      <c r="F2843" s="1062"/>
      <c r="G2843" s="389"/>
      <c r="H2843" s="584">
        <f>2300*1.2</f>
        <v>2760</v>
      </c>
      <c r="I2843" s="582"/>
      <c r="J2843" s="582"/>
      <c r="K2843" s="583"/>
      <c r="L2843" s="583"/>
      <c r="M2843" s="583"/>
      <c r="N2843" s="589"/>
      <c r="O2843" s="589"/>
    </row>
    <row r="2844" spans="1:15">
      <c r="A2844" s="377">
        <f>ORÇAMENTO!A584</f>
        <v>11214</v>
      </c>
      <c r="B2844" s="377" t="str">
        <f>ORÇAMENTO!C584</f>
        <v>15.08.07</v>
      </c>
      <c r="C2844" s="1047" t="str">
        <f>ORÇAMENTO!D584</f>
        <v>TOMADA PARA LÓGICA RJ45, COM CAIXA PVC, EMBUTIDA, CAT. 6</v>
      </c>
      <c r="D2844" s="1047"/>
      <c r="E2844" s="1047"/>
      <c r="F2844" s="1047"/>
      <c r="G2844" s="377" t="str">
        <f>ORÇAMENTO!E584</f>
        <v xml:space="preserve">UN </v>
      </c>
      <c r="H2844" s="383">
        <f>H2845</f>
        <v>13</v>
      </c>
      <c r="I2844" s="379"/>
      <c r="J2844" s="380"/>
      <c r="K2844" s="379"/>
      <c r="L2844" s="380"/>
      <c r="M2844" s="379"/>
      <c r="N2844" s="380"/>
      <c r="O2844" s="379"/>
    </row>
    <row r="2845" spans="1:15" s="129" customFormat="1" ht="12.75" customHeight="1">
      <c r="A2845" s="337"/>
      <c r="B2845" s="337"/>
      <c r="C2845" s="1062" t="s">
        <v>2178</v>
      </c>
      <c r="D2845" s="1062"/>
      <c r="E2845" s="1062"/>
      <c r="F2845" s="1062"/>
      <c r="G2845" s="389"/>
      <c r="H2845" s="584">
        <v>13</v>
      </c>
      <c r="I2845" s="582"/>
      <c r="J2845" s="582"/>
      <c r="K2845" s="583"/>
      <c r="L2845" s="583"/>
      <c r="M2845" s="583"/>
      <c r="N2845" s="589"/>
      <c r="O2845" s="589"/>
    </row>
    <row r="2846" spans="1:15" ht="24.75" customHeight="1">
      <c r="A2846" s="377">
        <f>ORÇAMENTO!A585</f>
        <v>7817</v>
      </c>
      <c r="B2846" s="377" t="str">
        <f>ORÇAMENTO!C585</f>
        <v>15.08.08</v>
      </c>
      <c r="C2846" s="1047" t="str">
        <f>ORÇAMENTO!D585</f>
        <v>TOMADA DUPLA PARA LÓGICA RJ45, 4"X2", EMBUTIR, COMPLETA, REF.0605, FAME OU SIMILAR</v>
      </c>
      <c r="D2846" s="1047"/>
      <c r="E2846" s="1047"/>
      <c r="F2846" s="1047"/>
      <c r="G2846" s="377" t="str">
        <f>ORÇAMENTO!E585</f>
        <v xml:space="preserve">UN </v>
      </c>
      <c r="H2846" s="383">
        <f>H2847</f>
        <v>1</v>
      </c>
      <c r="I2846" s="379"/>
      <c r="J2846" s="380"/>
      <c r="K2846" s="379"/>
      <c r="L2846" s="380"/>
      <c r="M2846" s="379"/>
      <c r="N2846" s="380"/>
      <c r="O2846" s="379"/>
    </row>
    <row r="2847" spans="1:15" s="129" customFormat="1" ht="12.75" customHeight="1">
      <c r="A2847" s="337"/>
      <c r="B2847" s="337"/>
      <c r="C2847" s="1062" t="s">
        <v>2179</v>
      </c>
      <c r="D2847" s="1062"/>
      <c r="E2847" s="1062"/>
      <c r="F2847" s="1062"/>
      <c r="G2847" s="389"/>
      <c r="H2847" s="584">
        <v>1</v>
      </c>
      <c r="I2847" s="582"/>
      <c r="J2847" s="582"/>
      <c r="K2847" s="583"/>
      <c r="L2847" s="583"/>
      <c r="M2847" s="583"/>
      <c r="N2847" s="589"/>
      <c r="O2847" s="589"/>
    </row>
    <row r="2848" spans="1:15" ht="23.25" customHeight="1">
      <c r="A2848" s="377">
        <f>ORÇAMENTO!A586</f>
        <v>8896</v>
      </c>
      <c r="B2848" s="377" t="str">
        <f>ORÇAMENTO!C586</f>
        <v>15.08.09</v>
      </c>
      <c r="C2848" s="1047" t="str">
        <f>ORÇAMENTO!D586</f>
        <v>CAIXA DE PASSAGEM PVC 15X15X8CM P/ELETRICA, TIPO AQUATIC OU SIMILAR</v>
      </c>
      <c r="D2848" s="1047"/>
      <c r="E2848" s="1047"/>
      <c r="F2848" s="1047"/>
      <c r="G2848" s="377" t="str">
        <f>ORÇAMENTO!E585</f>
        <v xml:space="preserve">UN </v>
      </c>
      <c r="H2848" s="383">
        <f>H2849</f>
        <v>21</v>
      </c>
      <c r="I2848" s="379"/>
      <c r="J2848" s="380"/>
      <c r="K2848" s="379"/>
      <c r="L2848" s="380"/>
      <c r="M2848" s="379"/>
      <c r="N2848" s="380"/>
      <c r="O2848" s="379"/>
    </row>
    <row r="2849" spans="1:15" s="129" customFormat="1" ht="12.75" customHeight="1">
      <c r="A2849" s="337"/>
      <c r="B2849" s="337"/>
      <c r="C2849" s="1062" t="s">
        <v>2180</v>
      </c>
      <c r="D2849" s="1062"/>
      <c r="E2849" s="1062"/>
      <c r="F2849" s="1062"/>
      <c r="G2849" s="389"/>
      <c r="H2849" s="584">
        <v>21</v>
      </c>
      <c r="I2849" s="582"/>
      <c r="J2849" s="582"/>
      <c r="K2849" s="583"/>
      <c r="L2849" s="583"/>
      <c r="M2849" s="583"/>
      <c r="N2849" s="589"/>
      <c r="O2849" s="589"/>
    </row>
    <row r="2850" spans="1:15">
      <c r="A2850" s="377">
        <f>ORÇAMENTO!A587</f>
        <v>9139</v>
      </c>
      <c r="B2850" s="377" t="str">
        <f>ORÇAMENTO!C587</f>
        <v>15.08.10</v>
      </c>
      <c r="C2850" s="1047" t="str">
        <f>ORÇAMENTO!D587</f>
        <v>CAIXA DE PASSAGEM PVC 20 X 20CM, SISTEMA "X", COM TAMPA</v>
      </c>
      <c r="D2850" s="1047"/>
      <c r="E2850" s="1047"/>
      <c r="F2850" s="1047"/>
      <c r="G2850" s="377" t="str">
        <f>ORÇAMENTO!E587</f>
        <v xml:space="preserve">UN </v>
      </c>
      <c r="H2850" s="383">
        <f>H2851</f>
        <v>4</v>
      </c>
      <c r="I2850" s="379"/>
      <c r="J2850" s="380"/>
      <c r="K2850" s="379"/>
      <c r="L2850" s="380"/>
      <c r="M2850" s="379"/>
      <c r="N2850" s="380"/>
      <c r="O2850" s="379"/>
    </row>
    <row r="2851" spans="1:15" s="129" customFormat="1" ht="12.75" customHeight="1">
      <c r="A2851" s="337"/>
      <c r="B2851" s="337"/>
      <c r="C2851" s="1062" t="s">
        <v>2180</v>
      </c>
      <c r="D2851" s="1062"/>
      <c r="E2851" s="1062"/>
      <c r="F2851" s="1062"/>
      <c r="G2851" s="389"/>
      <c r="H2851" s="584">
        <v>4</v>
      </c>
      <c r="I2851" s="582"/>
      <c r="J2851" s="582"/>
      <c r="K2851" s="583"/>
      <c r="L2851" s="583"/>
      <c r="M2851" s="583"/>
      <c r="N2851" s="589"/>
      <c r="O2851" s="589"/>
    </row>
    <row r="2852" spans="1:15" ht="35.450000000000003" customHeight="1">
      <c r="A2852" s="377">
        <f>ORÇAMENTO!A588</f>
        <v>670</v>
      </c>
      <c r="B2852" s="377" t="str">
        <f>ORÇAMENTO!C588</f>
        <v>15.08.11</v>
      </c>
      <c r="C2852" s="1004" t="str">
        <f>ORÇAMENTO!D588</f>
        <v>CAIXA DE PASSAGEM PARA TELEFONE, PADRÃO TELEBRÁS, 40X40X12CM, EM CHAPA AÇO GALV. - FORNECIMENTO</v>
      </c>
      <c r="D2852" s="1004"/>
      <c r="E2852" s="1004"/>
      <c r="F2852" s="1004"/>
      <c r="G2852" s="377" t="str">
        <f>ORÇAMENTO!E588</f>
        <v xml:space="preserve">UN </v>
      </c>
      <c r="H2852" s="383">
        <f>H2853</f>
        <v>4</v>
      </c>
      <c r="I2852" s="379"/>
      <c r="J2852" s="380"/>
      <c r="K2852" s="379"/>
      <c r="L2852" s="380"/>
      <c r="M2852" s="379"/>
      <c r="N2852" s="380"/>
      <c r="O2852" s="379"/>
    </row>
    <row r="2853" spans="1:15" s="129" customFormat="1" ht="12.75" customHeight="1">
      <c r="A2853" s="337"/>
      <c r="B2853" s="337"/>
      <c r="C2853" s="1062" t="s">
        <v>2181</v>
      </c>
      <c r="D2853" s="1062"/>
      <c r="E2853" s="1062"/>
      <c r="F2853" s="1062"/>
      <c r="G2853" s="389" t="s">
        <v>55</v>
      </c>
      <c r="H2853" s="584">
        <v>4</v>
      </c>
      <c r="I2853" s="582"/>
      <c r="J2853" s="582"/>
      <c r="K2853" s="583"/>
      <c r="L2853" s="583"/>
      <c r="M2853" s="583"/>
      <c r="N2853" s="589"/>
      <c r="O2853" s="589"/>
    </row>
    <row r="2854" spans="1:15" ht="31.5" customHeight="1">
      <c r="A2854" s="377">
        <f>ORÇAMENTO!A589</f>
        <v>654</v>
      </c>
      <c r="B2854" s="377" t="str">
        <f>ORÇAMENTO!C589</f>
        <v>15.08.12</v>
      </c>
      <c r="C2854" s="1071" t="str">
        <f>ORÇAMENTO!D589</f>
        <v>CAIXA DE DERIVAÇÃO EM PVC 4" X 2" C/TAMPA CEGA, EMBUTIR, P/ELETRODUTO</v>
      </c>
      <c r="D2854" s="1071"/>
      <c r="E2854" s="1071"/>
      <c r="F2854" s="1071"/>
      <c r="G2854" s="377" t="str">
        <f>ORÇAMENTO!E589</f>
        <v xml:space="preserve">UN </v>
      </c>
      <c r="H2854" s="383">
        <f>H2855</f>
        <v>18</v>
      </c>
      <c r="I2854" s="379"/>
      <c r="J2854" s="380"/>
      <c r="K2854" s="379"/>
      <c r="L2854" s="380"/>
      <c r="M2854" s="379"/>
      <c r="N2854" s="380"/>
      <c r="O2854" s="379"/>
    </row>
    <row r="2855" spans="1:15" s="135" customFormat="1" ht="12.75" customHeight="1">
      <c r="A2855" s="337"/>
      <c r="B2855" s="337"/>
      <c r="C2855" s="1062" t="s">
        <v>2182</v>
      </c>
      <c r="D2855" s="1062"/>
      <c r="E2855" s="1062"/>
      <c r="F2855" s="1062"/>
      <c r="G2855" s="389" t="s">
        <v>55</v>
      </c>
      <c r="H2855" s="584">
        <v>18</v>
      </c>
      <c r="I2855" s="582"/>
      <c r="J2855" s="582"/>
      <c r="K2855" s="583"/>
      <c r="L2855" s="583"/>
      <c r="M2855" s="583"/>
      <c r="N2855" s="589"/>
      <c r="O2855" s="589"/>
    </row>
    <row r="2856" spans="1:15" ht="49.5" customHeight="1">
      <c r="A2856" s="377">
        <f>ORÇAMENTO!A590</f>
        <v>7269</v>
      </c>
      <c r="B2856" s="377" t="str">
        <f>ORÇAMENTO!C590</f>
        <v>15.08.13</v>
      </c>
      <c r="C2856" s="1047" t="str">
        <f>ORÇAMENTO!D590</f>
        <v>POSTE DE AÇO GALVANIZADO CÔNICO CONTÍNO RETO, DIÂMETRO SUPERIOR 60MM, DIÂMETRO DA BASE 115MM, ALTURA TOTAL 5M, CONIPOST REF. SÉRIE 0005/CLASSE 60 DA CONIPOST OU SIMILAR</v>
      </c>
      <c r="D2856" s="1047"/>
      <c r="E2856" s="1047"/>
      <c r="F2856" s="1047"/>
      <c r="G2856" s="377" t="str">
        <f>ORÇAMENTO!E591</f>
        <v>M</v>
      </c>
      <c r="H2856" s="383">
        <f>H2857</f>
        <v>3</v>
      </c>
      <c r="I2856" s="379"/>
      <c r="J2856" s="380"/>
      <c r="K2856" s="379"/>
      <c r="L2856" s="380"/>
      <c r="M2856" s="379"/>
      <c r="N2856" s="380"/>
      <c r="O2856" s="379"/>
    </row>
    <row r="2857" spans="1:15" s="129" customFormat="1" ht="12.75" customHeight="1">
      <c r="A2857" s="337"/>
      <c r="B2857" s="337"/>
      <c r="C2857" s="1062" t="s">
        <v>2183</v>
      </c>
      <c r="D2857" s="1062"/>
      <c r="E2857" s="1062"/>
      <c r="F2857" s="1062"/>
      <c r="G2857" s="389" t="s">
        <v>55</v>
      </c>
      <c r="H2857" s="584">
        <v>3</v>
      </c>
      <c r="I2857" s="582"/>
      <c r="J2857" s="582"/>
      <c r="K2857" s="583"/>
      <c r="L2857" s="583"/>
      <c r="M2857" s="583"/>
      <c r="N2857" s="589"/>
      <c r="O2857" s="589"/>
    </row>
    <row r="2858" spans="1:15" ht="37.15" customHeight="1">
      <c r="A2858" s="377">
        <f>ORÇAMENTO!A591</f>
        <v>91840</v>
      </c>
      <c r="B2858" s="377" t="str">
        <f>ORÇAMENTO!C591</f>
        <v>15.08.14</v>
      </c>
      <c r="C2858" s="1047" t="str">
        <f>ORÇAMENTO!D591</f>
        <v>ELETRODUTO FLEXÍVEL CORRUGADO, PEAD, DN 40 MM (1 1/4"), PARA CIRCUITOS TERMINAIS, INSTALADO EM FORRO - FORNECIMENTO E INSTALAÇÃO. AF_12/2015</v>
      </c>
      <c r="D2858" s="1047"/>
      <c r="E2858" s="1047"/>
      <c r="F2858" s="1047"/>
      <c r="G2858" s="377" t="str">
        <f>ORÇAMENTO!E591</f>
        <v>M</v>
      </c>
      <c r="H2858" s="383">
        <f>H2859</f>
        <v>180</v>
      </c>
      <c r="I2858" s="379"/>
      <c r="J2858" s="380"/>
      <c r="K2858" s="379"/>
      <c r="L2858" s="380"/>
      <c r="M2858" s="379"/>
      <c r="N2858" s="380"/>
      <c r="O2858" s="379"/>
    </row>
    <row r="2859" spans="1:15" s="129" customFormat="1" ht="12.75" customHeight="1">
      <c r="A2859" s="337"/>
      <c r="B2859" s="337"/>
      <c r="C2859" s="1062" t="s">
        <v>2184</v>
      </c>
      <c r="D2859" s="1062"/>
      <c r="E2859" s="1062"/>
      <c r="F2859" s="1062"/>
      <c r="G2859" s="389" t="s">
        <v>246</v>
      </c>
      <c r="H2859" s="584">
        <f>150*1.2</f>
        <v>180</v>
      </c>
      <c r="I2859" s="582"/>
      <c r="J2859" s="582"/>
      <c r="K2859" s="583"/>
      <c r="L2859" s="583"/>
      <c r="M2859" s="583"/>
      <c r="N2859" s="589"/>
      <c r="O2859" s="589"/>
    </row>
    <row r="2860" spans="1:15">
      <c r="A2860" s="377">
        <f>ORÇAMENTO!A592</f>
        <v>97667</v>
      </c>
      <c r="B2860" s="377" t="str">
        <f>ORÇAMENTO!C592</f>
        <v>15.08.15</v>
      </c>
      <c r="C2860" s="1047" t="str">
        <f>ORÇAMENTO!D592</f>
        <v>ELETRODUTO FLEXÍVEL CORRUGADO, PEAD, DN 50 (1 ½) - FORNECIMENTO E INSTALAÇÃO. AF_04/2016</v>
      </c>
      <c r="D2860" s="1047"/>
      <c r="E2860" s="1047"/>
      <c r="F2860" s="1047"/>
      <c r="G2860" s="377" t="str">
        <f>ORÇAMENTO!E592</f>
        <v>M</v>
      </c>
      <c r="H2860" s="383">
        <f>H2861</f>
        <v>36</v>
      </c>
      <c r="I2860" s="379"/>
      <c r="J2860" s="380"/>
      <c r="K2860" s="379"/>
      <c r="L2860" s="380"/>
      <c r="M2860" s="379"/>
      <c r="N2860" s="380"/>
      <c r="O2860" s="379"/>
    </row>
    <row r="2861" spans="1:15" s="129" customFormat="1" ht="12.75" customHeight="1">
      <c r="A2861" s="337"/>
      <c r="B2861" s="337"/>
      <c r="C2861" s="1062" t="s">
        <v>2184</v>
      </c>
      <c r="D2861" s="1062"/>
      <c r="E2861" s="1062"/>
      <c r="F2861" s="1062"/>
      <c r="G2861" s="389" t="s">
        <v>246</v>
      </c>
      <c r="H2861" s="584">
        <f>30*1.2</f>
        <v>36</v>
      </c>
      <c r="I2861" s="582"/>
      <c r="J2861" s="582"/>
      <c r="K2861" s="583"/>
      <c r="L2861" s="583"/>
      <c r="M2861" s="583"/>
      <c r="N2861" s="589"/>
      <c r="O2861" s="589"/>
    </row>
    <row r="2862" spans="1:15">
      <c r="A2862" s="377">
        <f>ORÇAMENTO!A593</f>
        <v>97668</v>
      </c>
      <c r="B2862" s="377" t="str">
        <f>ORÇAMENTO!C593</f>
        <v>15.08.16</v>
      </c>
      <c r="C2862" s="1047" t="str">
        <f>ORÇAMENTO!D593</f>
        <v>ELETRODUTO FLEXÍVEL CORRUGADO, PEAD, DN 63 (2") - FORNECIMENTO E INSTALAÇÃO. AF_04/2016</v>
      </c>
      <c r="D2862" s="1047"/>
      <c r="E2862" s="1047"/>
      <c r="F2862" s="1047"/>
      <c r="G2862" s="377" t="str">
        <f>ORÇAMENTO!E595</f>
        <v xml:space="preserve">UN </v>
      </c>
      <c r="H2862" s="383">
        <f>H2863</f>
        <v>60</v>
      </c>
      <c r="I2862" s="379"/>
      <c r="J2862" s="380"/>
      <c r="K2862" s="379"/>
      <c r="L2862" s="380"/>
      <c r="M2862" s="379"/>
      <c r="N2862" s="380"/>
      <c r="O2862" s="379"/>
    </row>
    <row r="2863" spans="1:15" s="129" customFormat="1" ht="12.75" customHeight="1">
      <c r="A2863" s="337"/>
      <c r="B2863" s="337"/>
      <c r="C2863" s="1062" t="s">
        <v>2184</v>
      </c>
      <c r="D2863" s="1062"/>
      <c r="E2863" s="1062"/>
      <c r="F2863" s="1062"/>
      <c r="G2863" s="389" t="s">
        <v>246</v>
      </c>
      <c r="H2863" s="584">
        <f>50*1.2</f>
        <v>60</v>
      </c>
      <c r="I2863" s="582"/>
      <c r="J2863" s="582"/>
      <c r="K2863" s="583"/>
      <c r="L2863" s="583"/>
      <c r="M2863" s="583"/>
      <c r="N2863" s="589"/>
      <c r="O2863" s="589"/>
    </row>
    <row r="2864" spans="1:15" ht="28.5" customHeight="1">
      <c r="A2864" s="377">
        <f>ORÇAMENTO!A594</f>
        <v>354</v>
      </c>
      <c r="B2864" s="377" t="str">
        <f>ORÇAMENTO!C594</f>
        <v>15.08.17</v>
      </c>
      <c r="C2864" s="1047" t="str">
        <f>ORÇAMENTO!D594</f>
        <v>ELETRODUTO DE PVC RÍGIDO ROSCÁVEL, DIÂM = 32MM (1")</v>
      </c>
      <c r="D2864" s="1047"/>
      <c r="E2864" s="1047"/>
      <c r="F2864" s="1047"/>
      <c r="G2864" s="377" t="str">
        <f>ORÇAMENTO!E597</f>
        <v xml:space="preserve">UN </v>
      </c>
      <c r="H2864" s="383">
        <f>H2865</f>
        <v>7.1999999999999993</v>
      </c>
      <c r="I2864" s="379"/>
      <c r="J2864" s="380"/>
      <c r="K2864" s="379"/>
      <c r="L2864" s="380"/>
      <c r="M2864" s="379"/>
      <c r="N2864" s="380"/>
      <c r="O2864" s="379"/>
    </row>
    <row r="2865" spans="1:15" s="129" customFormat="1" ht="12.75" customHeight="1">
      <c r="A2865" s="337"/>
      <c r="B2865" s="337"/>
      <c r="C2865" s="1062" t="s">
        <v>2185</v>
      </c>
      <c r="D2865" s="1062"/>
      <c r="E2865" s="1062"/>
      <c r="F2865" s="1062"/>
      <c r="G2865" s="389" t="s">
        <v>246</v>
      </c>
      <c r="H2865" s="584">
        <f>6*1.2</f>
        <v>7.1999999999999993</v>
      </c>
      <c r="I2865" s="582"/>
      <c r="J2865" s="582"/>
      <c r="K2865" s="583"/>
      <c r="L2865" s="583"/>
      <c r="M2865" s="583"/>
      <c r="N2865" s="589"/>
      <c r="O2865" s="589"/>
    </row>
    <row r="2866" spans="1:15">
      <c r="A2866" s="377">
        <f>ORÇAMENTO!A595</f>
        <v>363</v>
      </c>
      <c r="B2866" s="377" t="str">
        <f>ORÇAMENTO!C595</f>
        <v>15.08.18</v>
      </c>
      <c r="C2866" s="1047" t="str">
        <f>ORÇAMENTO!D595</f>
        <v>CURVA PARA ELETRODUTO DE PVC RÍGIDO ROSCÁVEL, DIÂM = 32MM (1")</v>
      </c>
      <c r="D2866" s="1047"/>
      <c r="E2866" s="1047"/>
      <c r="F2866" s="1047"/>
      <c r="G2866" s="377" t="str">
        <f>ORÇAMENTO!E595</f>
        <v xml:space="preserve">UN </v>
      </c>
      <c r="H2866" s="383">
        <f>H2867</f>
        <v>2</v>
      </c>
      <c r="I2866" s="379"/>
      <c r="J2866" s="380"/>
      <c r="K2866" s="379"/>
      <c r="L2866" s="380"/>
      <c r="M2866" s="379"/>
      <c r="N2866" s="380"/>
      <c r="O2866" s="379"/>
    </row>
    <row r="2867" spans="1:15" s="129" customFormat="1" ht="12.75" customHeight="1">
      <c r="A2867" s="337"/>
      <c r="B2867" s="337"/>
      <c r="C2867" s="1062" t="s">
        <v>2186</v>
      </c>
      <c r="D2867" s="1062"/>
      <c r="E2867" s="1062"/>
      <c r="F2867" s="1062"/>
      <c r="G2867" s="389" t="s">
        <v>55</v>
      </c>
      <c r="H2867" s="584">
        <v>2</v>
      </c>
      <c r="I2867" s="582"/>
      <c r="J2867" s="582"/>
      <c r="K2867" s="583"/>
      <c r="L2867" s="583"/>
      <c r="M2867" s="583"/>
      <c r="N2867" s="589"/>
      <c r="O2867" s="589"/>
    </row>
    <row r="2868" spans="1:15">
      <c r="A2868" s="377">
        <f>ORÇAMENTO!A596</f>
        <v>372</v>
      </c>
      <c r="B2868" s="377" t="str">
        <f>ORÇAMENTO!C596</f>
        <v>15.08.19</v>
      </c>
      <c r="C2868" s="1047" t="str">
        <f>ORÇAMENTO!D596</f>
        <v>LUVA PARA ELETRODUTO DE PVC RÍGIDO ROSCÁVEL, DIÂM = 32MM (1")</v>
      </c>
      <c r="D2868" s="1047"/>
      <c r="E2868" s="1047"/>
      <c r="F2868" s="1047"/>
      <c r="G2868" s="377" t="str">
        <f>ORÇAMENTO!E596</f>
        <v xml:space="preserve">UN </v>
      </c>
      <c r="H2868" s="383">
        <f>H2869</f>
        <v>2</v>
      </c>
      <c r="I2868" s="379"/>
      <c r="J2868" s="380"/>
      <c r="K2868" s="379"/>
      <c r="L2868" s="380"/>
      <c r="M2868" s="379"/>
      <c r="N2868" s="380"/>
      <c r="O2868" s="379"/>
    </row>
    <row r="2869" spans="1:15" s="129" customFormat="1" ht="12.75" customHeight="1">
      <c r="A2869" s="337"/>
      <c r="B2869" s="337"/>
      <c r="C2869" s="1062" t="s">
        <v>2187</v>
      </c>
      <c r="D2869" s="1062"/>
      <c r="E2869" s="1062"/>
      <c r="F2869" s="1062"/>
      <c r="G2869" s="389" t="s">
        <v>55</v>
      </c>
      <c r="H2869" s="584">
        <v>2</v>
      </c>
      <c r="I2869" s="582"/>
      <c r="J2869" s="582"/>
      <c r="K2869" s="583"/>
      <c r="L2869" s="583"/>
      <c r="M2869" s="583"/>
      <c r="N2869" s="589"/>
      <c r="O2869" s="589"/>
    </row>
    <row r="2870" spans="1:15">
      <c r="A2870" s="377">
        <f>ORÇAMENTO!A597</f>
        <v>344</v>
      </c>
      <c r="B2870" s="377" t="str">
        <f>ORÇAMENTO!C597</f>
        <v>15.08.20</v>
      </c>
      <c r="C2870" s="1047" t="str">
        <f>ORÇAMENTO!D597</f>
        <v>BUCHA COM ARRUELA EM LIGA ESPECIAL ZAMAK P/ELETRODUTO 25MM, D=1"</v>
      </c>
      <c r="D2870" s="1047"/>
      <c r="E2870" s="1047"/>
      <c r="F2870" s="1047"/>
      <c r="G2870" s="377" t="str">
        <f>ORÇAMENTO!E597</f>
        <v xml:space="preserve">UN </v>
      </c>
      <c r="H2870" s="383">
        <f>H2871</f>
        <v>2</v>
      </c>
      <c r="I2870" s="379"/>
      <c r="J2870" s="380"/>
      <c r="K2870" s="379"/>
      <c r="L2870" s="380"/>
      <c r="M2870" s="379"/>
      <c r="N2870" s="380"/>
      <c r="O2870" s="379"/>
    </row>
    <row r="2871" spans="1:15" s="129" customFormat="1" ht="12.75" customHeight="1">
      <c r="A2871" s="337"/>
      <c r="B2871" s="337"/>
      <c r="C2871" s="1062" t="s">
        <v>2188</v>
      </c>
      <c r="D2871" s="1062"/>
      <c r="E2871" s="1062"/>
      <c r="F2871" s="1062"/>
      <c r="G2871" s="389" t="s">
        <v>55</v>
      </c>
      <c r="H2871" s="584">
        <v>2</v>
      </c>
      <c r="I2871" s="582"/>
      <c r="J2871" s="582"/>
      <c r="K2871" s="583"/>
      <c r="L2871" s="583"/>
      <c r="M2871" s="583"/>
      <c r="N2871" s="589"/>
      <c r="O2871" s="589"/>
    </row>
    <row r="2872" spans="1:15">
      <c r="A2872" s="377">
        <f>ORÇAMENTO!A598</f>
        <v>91865</v>
      </c>
      <c r="B2872" s="377" t="str">
        <f>ORÇAMENTO!C598</f>
        <v>15.08.21</v>
      </c>
      <c r="C2872" s="1047" t="str">
        <f>ORÇAMENTO!D598</f>
        <v>ELETRODUTO RÍGIDO ROSCÁVEL, PVC, DN 40 MM (1 1/4"), PARA CIRCUITOS TERMINAIS, INSTALADO EM FORRO - FORNECIMENTO E INSTALAÇÃO. AF_12/2015</v>
      </c>
      <c r="D2872" s="1047"/>
      <c r="E2872" s="1047"/>
      <c r="F2872" s="1047"/>
      <c r="G2872" s="377" t="str">
        <f>ORÇAMENTO!E598</f>
        <v>M</v>
      </c>
      <c r="H2872" s="383">
        <f>H2873</f>
        <v>25.2</v>
      </c>
      <c r="I2872" s="379"/>
      <c r="J2872" s="380"/>
      <c r="K2872" s="379"/>
      <c r="L2872" s="380"/>
      <c r="M2872" s="379"/>
      <c r="N2872" s="380"/>
      <c r="O2872" s="379"/>
    </row>
    <row r="2873" spans="1:15" s="129" customFormat="1" ht="12.75" customHeight="1">
      <c r="A2873" s="337"/>
      <c r="B2873" s="337"/>
      <c r="C2873" s="1062" t="s">
        <v>2189</v>
      </c>
      <c r="D2873" s="1062"/>
      <c r="E2873" s="1062"/>
      <c r="F2873" s="1062"/>
      <c r="G2873" s="389" t="s">
        <v>246</v>
      </c>
      <c r="H2873" s="584">
        <f>21*1.2</f>
        <v>25.2</v>
      </c>
      <c r="I2873" s="582"/>
      <c r="J2873" s="582"/>
      <c r="K2873" s="583"/>
      <c r="L2873" s="583"/>
      <c r="M2873" s="583"/>
      <c r="N2873" s="589"/>
      <c r="O2873" s="589"/>
    </row>
    <row r="2874" spans="1:15">
      <c r="A2874" s="377">
        <f>ORÇAMENTO!A599</f>
        <v>364</v>
      </c>
      <c r="B2874" s="377" t="str">
        <f>ORÇAMENTO!C599</f>
        <v>15.08.22</v>
      </c>
      <c r="C2874" s="1047" t="str">
        <f>ORÇAMENTO!D599</f>
        <v>CURVA PARA ELETRODUTO DE PVC RÍGIDO ROSCÁVEL, DIÂM = 40MM (1 1/4")</v>
      </c>
      <c r="D2874" s="1047"/>
      <c r="E2874" s="1047"/>
      <c r="F2874" s="1047"/>
      <c r="G2874" s="377" t="str">
        <f>ORÇAMENTO!E599</f>
        <v xml:space="preserve">UN </v>
      </c>
      <c r="H2874" s="383">
        <f>H2875</f>
        <v>7</v>
      </c>
      <c r="I2874" s="379"/>
      <c r="J2874" s="380"/>
      <c r="K2874" s="379"/>
      <c r="L2874" s="380"/>
      <c r="M2874" s="379"/>
      <c r="N2874" s="380"/>
      <c r="O2874" s="379"/>
    </row>
    <row r="2875" spans="1:15" s="129" customFormat="1" ht="12.75" customHeight="1">
      <c r="A2875" s="337"/>
      <c r="B2875" s="337"/>
      <c r="C2875" s="1062" t="s">
        <v>2190</v>
      </c>
      <c r="D2875" s="1062"/>
      <c r="E2875" s="1062"/>
      <c r="F2875" s="1062"/>
      <c r="G2875" s="389" t="s">
        <v>55</v>
      </c>
      <c r="H2875" s="584">
        <v>7</v>
      </c>
      <c r="I2875" s="582"/>
      <c r="J2875" s="582"/>
      <c r="K2875" s="583"/>
      <c r="L2875" s="583"/>
      <c r="M2875" s="583"/>
      <c r="N2875" s="589"/>
      <c r="O2875" s="589"/>
    </row>
    <row r="2876" spans="1:15">
      <c r="A2876" s="377">
        <f>ORÇAMENTO!A600</f>
        <v>373</v>
      </c>
      <c r="B2876" s="377" t="str">
        <f>ORÇAMENTO!C600</f>
        <v>15.08.23</v>
      </c>
      <c r="C2876" s="1047" t="str">
        <f>ORÇAMENTO!D600</f>
        <v>LUVA PARA ELETRODUTO DE PVC RÍGIDO ROSCÁVEL, DIÂM = 40MM (1 1/4")</v>
      </c>
      <c r="D2876" s="1047"/>
      <c r="E2876" s="1047"/>
      <c r="F2876" s="1047"/>
      <c r="G2876" s="377" t="str">
        <f>ORÇAMENTO!E600</f>
        <v xml:space="preserve">UN </v>
      </c>
      <c r="H2876" s="383">
        <f>H2877</f>
        <v>7</v>
      </c>
      <c r="I2876" s="379"/>
      <c r="J2876" s="380"/>
      <c r="K2876" s="379"/>
      <c r="L2876" s="380"/>
      <c r="M2876" s="379"/>
      <c r="N2876" s="380"/>
      <c r="O2876" s="379"/>
    </row>
    <row r="2877" spans="1:15" s="129" customFormat="1" ht="15" customHeight="1">
      <c r="A2877" s="337"/>
      <c r="B2877" s="337"/>
      <c r="C2877" s="1062" t="s">
        <v>2187</v>
      </c>
      <c r="D2877" s="1062"/>
      <c r="E2877" s="1062"/>
      <c r="F2877" s="1062"/>
      <c r="G2877" s="389" t="s">
        <v>55</v>
      </c>
      <c r="H2877" s="584">
        <v>7</v>
      </c>
      <c r="I2877" s="582"/>
      <c r="J2877" s="582"/>
      <c r="K2877" s="583"/>
      <c r="L2877" s="583"/>
      <c r="M2877" s="583"/>
      <c r="N2877" s="589"/>
      <c r="O2877" s="589"/>
    </row>
    <row r="2878" spans="1:15">
      <c r="A2878" s="377">
        <f>ORÇAMENTO!A601</f>
        <v>9925</v>
      </c>
      <c r="B2878" s="377" t="str">
        <f>ORÇAMENTO!C601</f>
        <v>15.08.24</v>
      </c>
      <c r="C2878" s="1047" t="str">
        <f>ORÇAMENTO!D601</f>
        <v>BUCHA COM ARRUELA EM LIGA ESPECIAL ZAMAK P/ELETRODUTO 32MM, D=1 1/4"</v>
      </c>
      <c r="D2878" s="1047"/>
      <c r="E2878" s="1047"/>
      <c r="F2878" s="1047"/>
      <c r="G2878" s="377" t="str">
        <f>ORÇAMENTO!E601</f>
        <v xml:space="preserve">UN </v>
      </c>
      <c r="H2878" s="383">
        <f>H2879</f>
        <v>7</v>
      </c>
      <c r="I2878" s="379"/>
      <c r="J2878" s="380"/>
      <c r="K2878" s="379"/>
      <c r="L2878" s="380"/>
      <c r="M2878" s="379"/>
      <c r="N2878" s="380"/>
      <c r="O2878" s="379"/>
    </row>
    <row r="2879" spans="1:15" s="129" customFormat="1" ht="12.75" customHeight="1">
      <c r="A2879" s="337"/>
      <c r="B2879" s="337"/>
      <c r="C2879" s="1062" t="s">
        <v>2188</v>
      </c>
      <c r="D2879" s="1062"/>
      <c r="E2879" s="1062"/>
      <c r="F2879" s="1062"/>
      <c r="G2879" s="389" t="s">
        <v>55</v>
      </c>
      <c r="H2879" s="584">
        <v>7</v>
      </c>
      <c r="I2879" s="582"/>
      <c r="J2879" s="582"/>
      <c r="K2879" s="583"/>
      <c r="L2879" s="583"/>
      <c r="M2879" s="583"/>
      <c r="N2879" s="589"/>
      <c r="O2879" s="589"/>
    </row>
    <row r="2880" spans="1:15" ht="17.25" customHeight="1">
      <c r="A2880" s="377">
        <f>ORÇAMENTO!A602</f>
        <v>91834</v>
      </c>
      <c r="B2880" s="377" t="str">
        <f>ORÇAMENTO!C602</f>
        <v>15.08.25</v>
      </c>
      <c r="C2880" s="1003" t="str">
        <f>ORÇAMENTO!D602</f>
        <v>ELETRODUTO FLEXÍVEL CORRUGADO, PVC, DN 25 MM (3/4"), PARA CIRCUITOS TERMINAIS, INSTALADO EM FORRO - FORNECIMENTO E INSTALAÇÃO. AF_12/2015</v>
      </c>
      <c r="D2880" s="1003"/>
      <c r="E2880" s="1003"/>
      <c r="F2880" s="1003"/>
      <c r="G2880" s="377" t="str">
        <f>ORÇAMENTO!E603</f>
        <v>M</v>
      </c>
      <c r="H2880" s="383">
        <f>H2881</f>
        <v>120</v>
      </c>
      <c r="I2880" s="379"/>
      <c r="J2880" s="380"/>
      <c r="K2880" s="379"/>
      <c r="L2880" s="380"/>
      <c r="M2880" s="379"/>
      <c r="N2880" s="380"/>
      <c r="O2880" s="379"/>
    </row>
    <row r="2881" spans="1:15" s="129" customFormat="1" ht="12.75" customHeight="1">
      <c r="A2881" s="337"/>
      <c r="B2881" s="337"/>
      <c r="C2881" s="1062" t="s">
        <v>2191</v>
      </c>
      <c r="D2881" s="1062"/>
      <c r="E2881" s="1062"/>
      <c r="F2881" s="1062"/>
      <c r="G2881" s="389" t="s">
        <v>246</v>
      </c>
      <c r="H2881" s="584">
        <f>100*1.2</f>
        <v>120</v>
      </c>
      <c r="I2881" s="582"/>
      <c r="J2881" s="582"/>
      <c r="K2881" s="583"/>
      <c r="L2881" s="583"/>
      <c r="M2881" s="583"/>
      <c r="N2881" s="589"/>
      <c r="O2881" s="589"/>
    </row>
    <row r="2882" spans="1:15" ht="33.75" customHeight="1">
      <c r="A2882" s="377">
        <f>ORÇAMENTO!A603</f>
        <v>91837</v>
      </c>
      <c r="B2882" s="377" t="str">
        <f>ORÇAMENTO!C603</f>
        <v>15.08.26</v>
      </c>
      <c r="C2882" s="1071" t="str">
        <f>ORÇAMENTO!D603</f>
        <v>ELETRODUTO FLEXÍVEL CORRUGADO REFORÇADO, PVC, DN 32 MM (1"), PARA CIRCUITOS TERMINAIS, INSTALADO EM FORRO - FORNECIMENTO E INSTALAÇÃO. AF_03/2023</v>
      </c>
      <c r="D2882" s="1071"/>
      <c r="E2882" s="1071"/>
      <c r="F2882" s="1071"/>
      <c r="G2882" s="377" t="str">
        <f>ORÇAMENTO!E603</f>
        <v>M</v>
      </c>
      <c r="H2882" s="383">
        <f>H2883</f>
        <v>156</v>
      </c>
      <c r="I2882" s="379"/>
      <c r="J2882" s="380"/>
      <c r="K2882" s="379"/>
      <c r="L2882" s="380"/>
      <c r="M2882" s="379"/>
      <c r="N2882" s="380"/>
      <c r="O2882" s="379"/>
    </row>
    <row r="2883" spans="1:15" s="129" customFormat="1" ht="15" customHeight="1">
      <c r="A2883" s="337"/>
      <c r="B2883" s="337"/>
      <c r="C2883" s="1062" t="s">
        <v>2192</v>
      </c>
      <c r="D2883" s="1062"/>
      <c r="E2883" s="1062"/>
      <c r="F2883" s="1062"/>
      <c r="G2883" s="389" t="s">
        <v>246</v>
      </c>
      <c r="H2883" s="584">
        <f>130*1.2</f>
        <v>156</v>
      </c>
      <c r="I2883" s="582"/>
      <c r="J2883" s="582"/>
      <c r="K2883" s="583"/>
      <c r="L2883" s="583"/>
      <c r="M2883" s="583"/>
      <c r="N2883" s="589"/>
      <c r="O2883" s="589"/>
    </row>
    <row r="2884" spans="1:15">
      <c r="A2884" s="377" t="str">
        <f>ORÇAMENTO!A604</f>
        <v xml:space="preserve">I-00001899 </v>
      </c>
      <c r="B2884" s="377" t="str">
        <f>ORÇAMENTO!C604</f>
        <v>15.08.27</v>
      </c>
      <c r="C2884" s="1071" t="str">
        <f>ORÇAMENTO!D604</f>
        <v>LUVA DE PRESSAO, EM PVC, DE 25 MM, PARA ELETRODUTO FLEXIVEL</v>
      </c>
      <c r="D2884" s="1071"/>
      <c r="E2884" s="1071"/>
      <c r="F2884" s="1071"/>
      <c r="G2884" s="377" t="str">
        <f>ORÇAMENTO!E604</f>
        <v xml:space="preserve">UN </v>
      </c>
      <c r="H2884" s="380"/>
      <c r="I2884" s="379"/>
      <c r="J2884" s="380">
        <f>J2885</f>
        <v>21</v>
      </c>
      <c r="K2884" s="379"/>
      <c r="L2884" s="380"/>
      <c r="M2884" s="379"/>
      <c r="N2884" s="380"/>
      <c r="O2884" s="379"/>
    </row>
    <row r="2885" spans="1:15" s="129" customFormat="1" ht="12.75" customHeight="1">
      <c r="A2885" s="337"/>
      <c r="B2885" s="337"/>
      <c r="C2885" s="1062" t="s">
        <v>2193</v>
      </c>
      <c r="D2885" s="1062"/>
      <c r="E2885" s="1062"/>
      <c r="F2885" s="1062"/>
      <c r="G2885" s="389" t="s">
        <v>96</v>
      </c>
      <c r="H2885" s="582"/>
      <c r="I2885" s="582"/>
      <c r="J2885" s="582">
        <v>21</v>
      </c>
      <c r="K2885" s="583"/>
      <c r="L2885" s="583"/>
      <c r="M2885" s="583"/>
      <c r="N2885" s="589"/>
      <c r="O2885" s="589"/>
    </row>
    <row r="2886" spans="1:15" ht="39.75" customHeight="1">
      <c r="A2886" s="377">
        <f>ORÇAMENTO!A605</f>
        <v>91846</v>
      </c>
      <c r="B2886" s="377" t="str">
        <f>ORÇAMENTO!C605</f>
        <v>15.08.28</v>
      </c>
      <c r="C2886" s="1071" t="str">
        <f>ORÇAMENTO!D605</f>
        <v>ELETRODUTO PVC FLEXIVEL CORRUGADO, REFORCADO, COR LARANJA, DE 32 MM, PARA LAJES E PISOS</v>
      </c>
      <c r="D2886" s="1071"/>
      <c r="E2886" s="1071"/>
      <c r="F2886" s="1071"/>
      <c r="G2886" s="377" t="str">
        <f>ORÇAMENTO!E605</f>
        <v>M</v>
      </c>
      <c r="H2886" s="380"/>
      <c r="I2886" s="379"/>
      <c r="J2886" s="380">
        <f>J2887</f>
        <v>108</v>
      </c>
      <c r="K2886" s="379"/>
      <c r="L2886" s="380"/>
      <c r="M2886" s="379"/>
      <c r="N2886" s="380"/>
      <c r="O2886" s="379"/>
    </row>
    <row r="2887" spans="1:15" s="129" customFormat="1" ht="12.75" customHeight="1">
      <c r="A2887" s="337"/>
      <c r="B2887" s="337"/>
      <c r="C2887" s="1062" t="s">
        <v>2194</v>
      </c>
      <c r="D2887" s="1062"/>
      <c r="E2887" s="1062"/>
      <c r="F2887" s="1062"/>
      <c r="G2887" s="389" t="s">
        <v>246</v>
      </c>
      <c r="H2887" s="582"/>
      <c r="I2887" s="582"/>
      <c r="J2887" s="582">
        <f>90*1.2</f>
        <v>108</v>
      </c>
      <c r="K2887" s="583"/>
      <c r="L2887" s="583"/>
      <c r="M2887" s="583"/>
      <c r="N2887" s="589"/>
      <c r="O2887" s="589"/>
    </row>
    <row r="2888" spans="1:15" ht="30" customHeight="1">
      <c r="A2888" s="377" t="str">
        <f>ORÇAMENTO!A606</f>
        <v>I-00001900</v>
      </c>
      <c r="B2888" s="377" t="str">
        <f>ORÇAMENTO!C606</f>
        <v>15.08.29</v>
      </c>
      <c r="C2888" s="1004" t="str">
        <f>ORÇAMENTO!D606</f>
        <v>LUVA DE PRESSAO, EM PVC, DE 32 MM, PARA ELETRODUTO FLEXIVEL</v>
      </c>
      <c r="D2888" s="1004"/>
      <c r="E2888" s="1004"/>
      <c r="F2888" s="1004"/>
      <c r="G2888" s="377" t="str">
        <f>ORÇAMENTO!E606</f>
        <v xml:space="preserve">UN </v>
      </c>
      <c r="H2888" s="380">
        <f>H2889</f>
        <v>6</v>
      </c>
      <c r="I2888" s="379"/>
      <c r="J2888" s="380"/>
      <c r="K2888" s="379"/>
      <c r="L2888" s="380"/>
      <c r="M2888" s="379"/>
      <c r="N2888" s="380"/>
      <c r="O2888" s="379"/>
    </row>
    <row r="2889" spans="1:15" s="129" customFormat="1" ht="12.75" customHeight="1">
      <c r="A2889" s="337"/>
      <c r="B2889" s="337"/>
      <c r="C2889" s="1062" t="s">
        <v>2195</v>
      </c>
      <c r="D2889" s="1062"/>
      <c r="E2889" s="1062"/>
      <c r="F2889" s="1062"/>
      <c r="G2889" s="389" t="s">
        <v>55</v>
      </c>
      <c r="H2889" s="582">
        <v>6</v>
      </c>
      <c r="I2889" s="582"/>
      <c r="J2889" s="582"/>
      <c r="K2889" s="583"/>
      <c r="L2889" s="583"/>
      <c r="M2889" s="583"/>
      <c r="N2889" s="589"/>
      <c r="O2889" s="589"/>
    </row>
    <row r="2890" spans="1:15" ht="29.25" customHeight="1">
      <c r="A2890" s="377">
        <f>ORÇAMENTO!A607</f>
        <v>8075</v>
      </c>
      <c r="B2890" s="377" t="str">
        <f>ORÇAMENTO!C607</f>
        <v>15.08.30</v>
      </c>
      <c r="C2890" s="1071" t="str">
        <f>ORÇAMENTO!D607</f>
        <v>CAIXA DE PASSAGEM EM ALVENARIA DE TIJOLOS MACIÇOS ESP. = 0,12M, DIM. INT. = 0,30 X 0,30 X 0,30M</v>
      </c>
      <c r="D2890" s="1071"/>
      <c r="E2890" s="1071"/>
      <c r="F2890" s="1071"/>
      <c r="G2890" s="377" t="str">
        <f>ORÇAMENTO!E607</f>
        <v xml:space="preserve">UN </v>
      </c>
      <c r="H2890" s="380">
        <f>H2891</f>
        <v>15</v>
      </c>
      <c r="I2890" s="379"/>
      <c r="J2890" s="380"/>
      <c r="K2890" s="379"/>
      <c r="L2890" s="380"/>
      <c r="M2890" s="379"/>
      <c r="N2890" s="380"/>
      <c r="O2890" s="379"/>
    </row>
    <row r="2891" spans="1:15" s="129" customFormat="1" ht="21.75" customHeight="1">
      <c r="A2891" s="337"/>
      <c r="B2891" s="337"/>
      <c r="C2891" s="1062" t="s">
        <v>2196</v>
      </c>
      <c r="D2891" s="1062"/>
      <c r="E2891" s="1062"/>
      <c r="F2891" s="1062"/>
      <c r="G2891" s="389" t="s">
        <v>55</v>
      </c>
      <c r="H2891" s="582">
        <v>15</v>
      </c>
      <c r="I2891" s="582"/>
      <c r="J2891" s="582"/>
      <c r="K2891" s="583"/>
      <c r="L2891" s="583"/>
      <c r="M2891" s="583"/>
      <c r="N2891" s="589"/>
      <c r="O2891" s="589"/>
    </row>
    <row r="2892" spans="1:15" ht="12.75" customHeight="1">
      <c r="A2892" s="373" t="s">
        <v>11</v>
      </c>
      <c r="B2892" s="375" t="s">
        <v>13</v>
      </c>
      <c r="C2892" s="1007" t="s">
        <v>1443</v>
      </c>
      <c r="D2892" s="1007"/>
      <c r="E2892" s="1007"/>
      <c r="F2892" s="1007"/>
      <c r="G2892" s="375" t="s">
        <v>15</v>
      </c>
      <c r="H2892" s="375" t="s">
        <v>1444</v>
      </c>
      <c r="I2892" s="375" t="s">
        <v>1445</v>
      </c>
      <c r="J2892" s="375" t="s">
        <v>1446</v>
      </c>
      <c r="K2892" s="375" t="s">
        <v>1447</v>
      </c>
      <c r="L2892" s="375" t="s">
        <v>1448</v>
      </c>
      <c r="M2892" s="375" t="s">
        <v>1457</v>
      </c>
      <c r="N2892" s="375" t="s">
        <v>1450</v>
      </c>
      <c r="O2892" s="375" t="s">
        <v>1451</v>
      </c>
    </row>
    <row r="2893" spans="1:15">
      <c r="B2893" s="376" t="str">
        <f>ORÇAMENTO!C608</f>
        <v>16.00</v>
      </c>
      <c r="C2893" s="1067" t="str">
        <f>ORÇAMENTO!D608</f>
        <v>INSTALAÇÕES DE CLIMATIZAÇÃO</v>
      </c>
      <c r="D2893" s="1067"/>
      <c r="E2893" s="1067"/>
      <c r="F2893" s="1067"/>
      <c r="G2893" s="1072"/>
      <c r="H2893" s="1072"/>
      <c r="I2893" s="1072"/>
      <c r="J2893" s="1072"/>
      <c r="K2893" s="1072"/>
      <c r="L2893" s="1072"/>
      <c r="M2893" s="1072"/>
      <c r="N2893" s="1072"/>
      <c r="O2893" s="1072"/>
    </row>
    <row r="2894" spans="1:15" ht="37.5" customHeight="1">
      <c r="A2894" s="377">
        <f>ORÇAMENTO!A609</f>
        <v>89806</v>
      </c>
      <c r="B2894" s="377" t="str">
        <f>ORÇAMENTO!C609</f>
        <v>16.01</v>
      </c>
      <c r="C2894" s="1071" t="str">
        <f>ORÇAMENTO!D609</f>
        <v>JOELHO 45 GRAUS, PVC, SERIE NORMAL, ESGOTO PREDIAL, DN 75 MM, JUNTA ELÁSTICA, FORNECIDO E INSTALADO EM PRUMADA DE ESGOTO SANITÁRIO OU VENTILAÇÃO. AF_08/2022</v>
      </c>
      <c r="D2894" s="1071"/>
      <c r="E2894" s="1071"/>
      <c r="F2894" s="1071"/>
      <c r="G2894" s="377" t="str">
        <f>ORÇAMENTO!E609</f>
        <v xml:space="preserve">UN </v>
      </c>
      <c r="H2894" s="380">
        <f>SUM(H2895)</f>
        <v>69</v>
      </c>
      <c r="I2894" s="379"/>
      <c r="J2894" s="380"/>
      <c r="K2894" s="379"/>
      <c r="L2894" s="380"/>
      <c r="M2894" s="379"/>
      <c r="N2894" s="380"/>
      <c r="O2894" s="379"/>
    </row>
    <row r="2895" spans="1:15" s="129" customFormat="1" ht="34.5" customHeight="1">
      <c r="A2895" s="127"/>
      <c r="B2895" s="337"/>
      <c r="C2895" s="1062" t="s">
        <v>2197</v>
      </c>
      <c r="D2895" s="1062"/>
      <c r="E2895" s="1062"/>
      <c r="F2895" s="1062"/>
      <c r="G2895" s="389" t="s">
        <v>96</v>
      </c>
      <c r="H2895" s="582">
        <f>23*3</f>
        <v>69</v>
      </c>
      <c r="I2895" s="582"/>
      <c r="J2895" s="582"/>
      <c r="K2895" s="583"/>
      <c r="L2895" s="583"/>
      <c r="M2895" s="583"/>
      <c r="N2895" s="589"/>
      <c r="O2895" s="589"/>
    </row>
    <row r="2896" spans="1:15" ht="41.25" customHeight="1">
      <c r="A2896" s="377">
        <f>ORÇAMENTO!A610</f>
        <v>89799</v>
      </c>
      <c r="B2896" s="377" t="str">
        <f>ORÇAMENTO!C610</f>
        <v>16.02</v>
      </c>
      <c r="C2896" s="1004" t="str">
        <f>ORÇAMENTO!D610</f>
        <v>TUBO PVC, SERIE NORMAL, ESGOTO PREDIAL, DN 75 MM, FORNECIDO E INSTALADO EM PRUMADA DE ESGOTO SANITÁRIO OU VENTILAÇÃO. AF_08/2022</v>
      </c>
      <c r="D2896" s="1004"/>
      <c r="E2896" s="1004"/>
      <c r="F2896" s="1004"/>
      <c r="G2896" s="377" t="str">
        <f>ORÇAMENTO!E610</f>
        <v>M</v>
      </c>
      <c r="H2896" s="380"/>
      <c r="I2896" s="379"/>
      <c r="J2896" s="380">
        <f>SUM(J2897:J2897)</f>
        <v>26</v>
      </c>
      <c r="K2896" s="379"/>
      <c r="L2896" s="380"/>
      <c r="M2896" s="379"/>
      <c r="N2896" s="380"/>
      <c r="O2896" s="379"/>
    </row>
    <row r="2897" spans="1:15" s="129" customFormat="1" ht="30" customHeight="1">
      <c r="A2897" s="127"/>
      <c r="B2897" s="337"/>
      <c r="C2897" s="1015" t="s">
        <v>2198</v>
      </c>
      <c r="D2897" s="1015"/>
      <c r="E2897" s="1015"/>
      <c r="F2897" s="1015"/>
      <c r="G2897" s="389" t="s">
        <v>246</v>
      </c>
      <c r="H2897" s="582"/>
      <c r="I2897" s="582"/>
      <c r="J2897" s="582">
        <f>1*26</f>
        <v>26</v>
      </c>
      <c r="K2897" s="583"/>
      <c r="L2897" s="583"/>
      <c r="M2897" s="583"/>
      <c r="N2897" s="589"/>
      <c r="O2897" s="589"/>
    </row>
    <row r="2898" spans="1:15" ht="29.25" customHeight="1">
      <c r="A2898" s="377">
        <f>ORÇAMENTO!A611</f>
        <v>90441</v>
      </c>
      <c r="B2898" s="377" t="str">
        <f>ORÇAMENTO!C611</f>
        <v>16.03</v>
      </c>
      <c r="C2898" s="1071" t="str">
        <f>ORÇAMENTO!D611</f>
        <v>FURO EM CONCRETO PARA DIÂMETROS MAIORES QUE 75 MM. AF_05/2015</v>
      </c>
      <c r="D2898" s="1071"/>
      <c r="E2898" s="1071"/>
      <c r="F2898" s="1071"/>
      <c r="G2898" s="377" t="str">
        <f>ORÇAMENTO!E611</f>
        <v xml:space="preserve">UN </v>
      </c>
      <c r="H2898" s="380">
        <f>SUM(H2899:H2899)</f>
        <v>23</v>
      </c>
      <c r="I2898" s="429"/>
      <c r="J2898" s="380"/>
      <c r="K2898" s="379"/>
      <c r="L2898" s="380"/>
      <c r="M2898" s="379"/>
      <c r="N2898" s="380"/>
      <c r="O2898" s="379"/>
    </row>
    <row r="2899" spans="1:15" s="129" customFormat="1" ht="32.25" customHeight="1">
      <c r="A2899" s="127"/>
      <c r="B2899" s="337"/>
      <c r="C2899" s="1015" t="s">
        <v>2199</v>
      </c>
      <c r="D2899" s="1015"/>
      <c r="E2899" s="1015"/>
      <c r="F2899" s="1015"/>
      <c r="G2899" s="389" t="s">
        <v>96</v>
      </c>
      <c r="H2899" s="582">
        <v>23</v>
      </c>
      <c r="I2899" s="582"/>
      <c r="J2899" s="582"/>
      <c r="K2899" s="583"/>
      <c r="L2899" s="583"/>
      <c r="M2899" s="583"/>
      <c r="N2899" s="589"/>
      <c r="O2899" s="589"/>
    </row>
    <row r="2900" spans="1:15" ht="25.5" customHeight="1">
      <c r="A2900" s="377">
        <f>ORÇAMENTO!A612</f>
        <v>9384</v>
      </c>
      <c r="B2900" s="377" t="str">
        <f>ORÇAMENTO!C612</f>
        <v>16.04</v>
      </c>
      <c r="C2900" s="1071" t="str">
        <f>ORÇAMENTO!D612</f>
        <v>TUBO PVC RÍGIDO C/ANEL BORRACHA, SERIE REFORÇADA, P/ESGOTO E AGUAS PLUVIAIS, D = 40MM - REV 01_11/2021</v>
      </c>
      <c r="D2900" s="1071"/>
      <c r="E2900" s="1071"/>
      <c r="F2900" s="1071"/>
      <c r="G2900" s="377" t="str">
        <f>ORÇAMENTO!E612</f>
        <v>M</v>
      </c>
      <c r="H2900" s="380"/>
      <c r="I2900" s="379"/>
      <c r="J2900" s="380">
        <f>SUM(J2901:J2901)</f>
        <v>180</v>
      </c>
      <c r="K2900" s="379"/>
      <c r="L2900" s="380"/>
      <c r="M2900" s="379"/>
      <c r="N2900" s="380"/>
      <c r="O2900" s="379"/>
    </row>
    <row r="2901" spans="1:15" s="129" customFormat="1" ht="15" customHeight="1">
      <c r="A2901" s="127"/>
      <c r="B2901" s="337"/>
      <c r="C2901" s="1002" t="s">
        <v>2200</v>
      </c>
      <c r="D2901" s="1002"/>
      <c r="E2901" s="1002"/>
      <c r="F2901" s="1002"/>
      <c r="G2901" s="389" t="s">
        <v>246</v>
      </c>
      <c r="H2901" s="582"/>
      <c r="I2901" s="582"/>
      <c r="J2901" s="582">
        <v>180</v>
      </c>
      <c r="K2901" s="583"/>
      <c r="L2901" s="583"/>
      <c r="M2901" s="583"/>
      <c r="N2901" s="589"/>
      <c r="O2901" s="589"/>
    </row>
    <row r="2902" spans="1:15" ht="27" customHeight="1">
      <c r="A2902" s="377">
        <f>ORÇAMENTO!A613</f>
        <v>1670</v>
      </c>
      <c r="B2902" s="377" t="str">
        <f>ORÇAMENTO!C613</f>
        <v>16.05</v>
      </c>
      <c r="C2902" s="1071" t="str">
        <f>ORÇAMENTO!D613</f>
        <v>JOELHO DE 45° EM PVC RÍGIDO C/ ANÉIS, PARA ESGOTO SECUNDÁRIO, DIÂM = 40MM</v>
      </c>
      <c r="D2902" s="1071"/>
      <c r="E2902" s="1071"/>
      <c r="F2902" s="1071"/>
      <c r="G2902" s="377" t="str">
        <f>ORÇAMENTO!E613</f>
        <v xml:space="preserve">UN </v>
      </c>
      <c r="H2902" s="380">
        <f>SUM(H2903:H2903)</f>
        <v>17</v>
      </c>
      <c r="I2902" s="379"/>
      <c r="J2902" s="380"/>
      <c r="K2902" s="379"/>
      <c r="L2902" s="380"/>
      <c r="M2902" s="379"/>
      <c r="N2902" s="380"/>
      <c r="O2902" s="379"/>
    </row>
    <row r="2903" spans="1:15" s="129" customFormat="1" ht="16.5" customHeight="1">
      <c r="A2903" s="694"/>
      <c r="B2903" s="337"/>
      <c r="C2903" s="1019" t="s">
        <v>2200</v>
      </c>
      <c r="D2903" s="1019"/>
      <c r="E2903" s="1019"/>
      <c r="F2903" s="1019"/>
      <c r="G2903" s="389" t="s">
        <v>96</v>
      </c>
      <c r="H2903" s="582">
        <v>17</v>
      </c>
      <c r="I2903" s="582"/>
      <c r="J2903" s="582"/>
      <c r="K2903" s="583"/>
      <c r="L2903" s="583"/>
      <c r="M2903" s="583"/>
      <c r="N2903" s="589"/>
      <c r="O2903" s="589"/>
    </row>
    <row r="2904" spans="1:15" ht="27" customHeight="1">
      <c r="A2904" s="377">
        <f>ORÇAMENTO!A614</f>
        <v>1674</v>
      </c>
      <c r="B2904" s="377" t="str">
        <f>ORÇAMENTO!C614</f>
        <v>16.06</v>
      </c>
      <c r="C2904" s="1071" t="str">
        <f>ORÇAMENTO!D614</f>
        <v>JUNÇÃO 45° EM PVC RÍGIDO C/ ANÉIS, PARA ESGOTO SECUNDÁRIO, DIÂM = 40MM</v>
      </c>
      <c r="D2904" s="1071"/>
      <c r="E2904" s="1071"/>
      <c r="F2904" s="1071"/>
      <c r="G2904" s="377" t="s">
        <v>246</v>
      </c>
      <c r="H2904" s="380">
        <f>SUM(H2905)</f>
        <v>11</v>
      </c>
      <c r="I2904" s="379"/>
      <c r="J2904" s="380"/>
      <c r="K2904" s="379"/>
      <c r="L2904" s="380"/>
      <c r="M2904" s="379"/>
      <c r="N2904" s="380"/>
      <c r="O2904" s="379"/>
    </row>
    <row r="2905" spans="1:15" s="129" customFormat="1" ht="16.5" customHeight="1">
      <c r="A2905" s="127"/>
      <c r="B2905" s="337"/>
      <c r="C2905" s="1019" t="s">
        <v>2200</v>
      </c>
      <c r="D2905" s="1019"/>
      <c r="E2905" s="1019"/>
      <c r="F2905" s="1019"/>
      <c r="G2905" s="389" t="s">
        <v>246</v>
      </c>
      <c r="H2905" s="582">
        <v>11</v>
      </c>
      <c r="I2905" s="582"/>
      <c r="J2905" s="582"/>
      <c r="K2905" s="583"/>
      <c r="L2905" s="583"/>
      <c r="M2905" s="583"/>
      <c r="N2905" s="589"/>
      <c r="O2905" s="589"/>
    </row>
    <row r="2906" spans="1:15" s="129" customFormat="1" ht="50.25" customHeight="1">
      <c r="A2906" s="377">
        <f>ORÇAMENTO!A615</f>
        <v>7289</v>
      </c>
      <c r="B2906" s="377" t="str">
        <f>ORÇAMENTO!C615</f>
        <v>16.07</v>
      </c>
      <c r="C2906" s="1047" t="str">
        <f>ORÇAMENTO!D615</f>
        <v>FORNECIMENTO E INSTALAÇÃO DE TUBULAÇÃO EM COBRE P/ INTERLIGAÇÃO DO CONDENSADOR AO EVAPORADOR, INCLUSIVE ISOLAMENTO, ALIMENTAÇÃO ELÉTRICA, CONEXÕES E FIXAÇÕES, P/ CONDICIONADORES DE AR SPLIT SYSTEM ATÉ 48.000 BTU.</v>
      </c>
      <c r="D2906" s="1047"/>
      <c r="E2906" s="1047"/>
      <c r="F2906" s="1047"/>
      <c r="G2906" s="377" t="s">
        <v>246</v>
      </c>
      <c r="H2906" s="380"/>
      <c r="I2906" s="379"/>
      <c r="J2906" s="380">
        <f>SUM(J2907:J2929)</f>
        <v>268.07000000000005</v>
      </c>
      <c r="K2906" s="379"/>
      <c r="L2906" s="380"/>
      <c r="M2906" s="379"/>
      <c r="N2906" s="380"/>
      <c r="O2906" s="379"/>
    </row>
    <row r="2907" spans="1:15" s="129" customFormat="1" ht="17.25" customHeight="1">
      <c r="A2907" s="337"/>
      <c r="B2907" s="337"/>
      <c r="C2907" s="1052" t="s">
        <v>2201</v>
      </c>
      <c r="D2907" s="1052"/>
      <c r="E2907" s="1052"/>
      <c r="F2907" s="1052"/>
      <c r="G2907" s="389" t="s">
        <v>246</v>
      </c>
      <c r="H2907" s="582"/>
      <c r="I2907" s="582"/>
      <c r="J2907" s="582">
        <f>9.82+5</f>
        <v>14.82</v>
      </c>
      <c r="K2907" s="583"/>
      <c r="L2907" s="583"/>
      <c r="M2907" s="583"/>
      <c r="N2907" s="589"/>
      <c r="O2907" s="589"/>
    </row>
    <row r="2908" spans="1:15" s="129" customFormat="1" ht="17.25" customHeight="1">
      <c r="A2908" s="337"/>
      <c r="B2908" s="337"/>
      <c r="C2908" s="1052" t="s">
        <v>2202</v>
      </c>
      <c r="D2908" s="1052"/>
      <c r="E2908" s="1052"/>
      <c r="F2908" s="1052"/>
      <c r="G2908" s="389" t="s">
        <v>246</v>
      </c>
      <c r="H2908" s="582"/>
      <c r="I2908" s="582"/>
      <c r="J2908" s="582">
        <f>10+5</f>
        <v>15</v>
      </c>
      <c r="K2908" s="583"/>
      <c r="L2908" s="583"/>
      <c r="M2908" s="583"/>
      <c r="N2908" s="589"/>
      <c r="O2908" s="589"/>
    </row>
    <row r="2909" spans="1:15" s="129" customFormat="1" ht="17.25" customHeight="1">
      <c r="A2909" s="337"/>
      <c r="B2909" s="337"/>
      <c r="C2909" s="1052" t="s">
        <v>2203</v>
      </c>
      <c r="D2909" s="1052"/>
      <c r="E2909" s="1052"/>
      <c r="F2909" s="1052"/>
      <c r="G2909" s="389" t="s">
        <v>246</v>
      </c>
      <c r="H2909" s="582"/>
      <c r="I2909" s="582"/>
      <c r="J2909" s="582">
        <f>3.8+5</f>
        <v>8.8000000000000007</v>
      </c>
      <c r="K2909" s="583"/>
      <c r="L2909" s="583"/>
      <c r="M2909" s="583"/>
      <c r="N2909" s="589"/>
      <c r="O2909" s="589"/>
    </row>
    <row r="2910" spans="1:15" s="129" customFormat="1" ht="17.25" customHeight="1">
      <c r="A2910" s="337"/>
      <c r="B2910" s="337"/>
      <c r="C2910" s="1052" t="s">
        <v>2204</v>
      </c>
      <c r="D2910" s="1052"/>
      <c r="E2910" s="1052"/>
      <c r="F2910" s="1052"/>
      <c r="G2910" s="389" t="s">
        <v>246</v>
      </c>
      <c r="H2910" s="582"/>
      <c r="I2910" s="582"/>
      <c r="J2910" s="582">
        <f>3.8+5</f>
        <v>8.8000000000000007</v>
      </c>
      <c r="K2910" s="583"/>
      <c r="L2910" s="583"/>
      <c r="M2910" s="583"/>
      <c r="N2910" s="589"/>
      <c r="O2910" s="589"/>
    </row>
    <row r="2911" spans="1:15" s="129" customFormat="1" ht="17.25" customHeight="1">
      <c r="A2911" s="337"/>
      <c r="B2911" s="337"/>
      <c r="C2911" s="1052" t="s">
        <v>2205</v>
      </c>
      <c r="D2911" s="1052"/>
      <c r="E2911" s="1052"/>
      <c r="F2911" s="1052"/>
      <c r="G2911" s="389" t="s">
        <v>246</v>
      </c>
      <c r="H2911" s="582"/>
      <c r="I2911" s="582"/>
      <c r="J2911" s="582">
        <f>3.6+5</f>
        <v>8.6</v>
      </c>
      <c r="K2911" s="583"/>
      <c r="L2911" s="583"/>
      <c r="M2911" s="583"/>
      <c r="N2911" s="589"/>
      <c r="O2911" s="589"/>
    </row>
    <row r="2912" spans="1:15" s="129" customFormat="1" ht="17.25" customHeight="1">
      <c r="A2912" s="337"/>
      <c r="B2912" s="337"/>
      <c r="C2912" s="1052" t="s">
        <v>2206</v>
      </c>
      <c r="D2912" s="1052"/>
      <c r="E2912" s="1052"/>
      <c r="F2912" s="1052"/>
      <c r="G2912" s="389" t="s">
        <v>246</v>
      </c>
      <c r="H2912" s="582"/>
      <c r="I2912" s="582"/>
      <c r="J2912" s="582">
        <f>6.1+5</f>
        <v>11.1</v>
      </c>
      <c r="K2912" s="583"/>
      <c r="L2912" s="583"/>
      <c r="M2912" s="583"/>
      <c r="N2912" s="589"/>
      <c r="O2912" s="589"/>
    </row>
    <row r="2913" spans="1:15" s="129" customFormat="1" ht="17.25" customHeight="1">
      <c r="A2913" s="337"/>
      <c r="B2913" s="337"/>
      <c r="C2913" s="1052" t="s">
        <v>2207</v>
      </c>
      <c r="D2913" s="1052"/>
      <c r="E2913" s="1052"/>
      <c r="F2913" s="1052"/>
      <c r="G2913" s="389" t="s">
        <v>246</v>
      </c>
      <c r="H2913" s="582"/>
      <c r="I2913" s="582"/>
      <c r="J2913" s="582">
        <f>8.8+5</f>
        <v>13.8</v>
      </c>
      <c r="K2913" s="583"/>
      <c r="L2913" s="583"/>
      <c r="M2913" s="583"/>
      <c r="N2913" s="589"/>
      <c r="O2913" s="589"/>
    </row>
    <row r="2914" spans="1:15" s="129" customFormat="1" ht="17.25" customHeight="1">
      <c r="A2914" s="337"/>
      <c r="B2914" s="337"/>
      <c r="C2914" s="1052" t="s">
        <v>2208</v>
      </c>
      <c r="D2914" s="1052"/>
      <c r="E2914" s="1052"/>
      <c r="F2914" s="1052"/>
      <c r="G2914" s="389" t="s">
        <v>246</v>
      </c>
      <c r="H2914" s="582"/>
      <c r="I2914" s="582"/>
      <c r="J2914" s="582">
        <f>11.5+5</f>
        <v>16.5</v>
      </c>
      <c r="K2914" s="583"/>
      <c r="L2914" s="583"/>
      <c r="M2914" s="583"/>
      <c r="N2914" s="589"/>
      <c r="O2914" s="589"/>
    </row>
    <row r="2915" spans="1:15" s="129" customFormat="1" ht="17.25" customHeight="1">
      <c r="A2915" s="337"/>
      <c r="B2915" s="337"/>
      <c r="C2915" s="1052" t="s">
        <v>2209</v>
      </c>
      <c r="D2915" s="1052"/>
      <c r="E2915" s="1052"/>
      <c r="F2915" s="1052"/>
      <c r="G2915" s="389" t="s">
        <v>246</v>
      </c>
      <c r="H2915" s="582"/>
      <c r="I2915" s="582"/>
      <c r="J2915" s="582">
        <f>11.5+5</f>
        <v>16.5</v>
      </c>
      <c r="K2915" s="583"/>
      <c r="L2915" s="583"/>
      <c r="M2915" s="583"/>
      <c r="N2915" s="589"/>
      <c r="O2915" s="589"/>
    </row>
    <row r="2916" spans="1:15" s="129" customFormat="1" ht="17.25" customHeight="1">
      <c r="A2916" s="337"/>
      <c r="B2916" s="337"/>
      <c r="C2916" s="1052" t="s">
        <v>2210</v>
      </c>
      <c r="D2916" s="1052"/>
      <c r="E2916" s="1052"/>
      <c r="F2916" s="1052"/>
      <c r="G2916" s="389" t="s">
        <v>246</v>
      </c>
      <c r="H2916" s="582"/>
      <c r="I2916" s="582"/>
      <c r="J2916" s="582">
        <f>11.5+5</f>
        <v>16.5</v>
      </c>
      <c r="K2916" s="583"/>
      <c r="L2916" s="583"/>
      <c r="M2916" s="583"/>
      <c r="N2916" s="589"/>
      <c r="O2916" s="589"/>
    </row>
    <row r="2917" spans="1:15" s="129" customFormat="1" ht="17.25" customHeight="1">
      <c r="A2917" s="337"/>
      <c r="B2917" s="337"/>
      <c r="C2917" s="1052" t="s">
        <v>2211</v>
      </c>
      <c r="D2917" s="1052"/>
      <c r="E2917" s="1052"/>
      <c r="F2917" s="1052"/>
      <c r="G2917" s="389" t="s">
        <v>246</v>
      </c>
      <c r="H2917" s="582"/>
      <c r="I2917" s="582"/>
      <c r="J2917" s="582">
        <f>3+5</f>
        <v>8</v>
      </c>
      <c r="K2917" s="583"/>
      <c r="L2917" s="583"/>
      <c r="M2917" s="583"/>
      <c r="N2917" s="589"/>
      <c r="O2917" s="589"/>
    </row>
    <row r="2918" spans="1:15" s="129" customFormat="1" ht="17.25" customHeight="1">
      <c r="A2918" s="337"/>
      <c r="B2918" s="337"/>
      <c r="C2918" s="1052" t="s">
        <v>2212</v>
      </c>
      <c r="D2918" s="1052"/>
      <c r="E2918" s="1052"/>
      <c r="F2918" s="1052"/>
      <c r="G2918" s="389" t="s">
        <v>246</v>
      </c>
      <c r="H2918" s="582"/>
      <c r="I2918" s="582"/>
      <c r="J2918" s="582">
        <f>4.5+5</f>
        <v>9.5</v>
      </c>
      <c r="K2918" s="583"/>
      <c r="L2918" s="583"/>
      <c r="M2918" s="583"/>
      <c r="N2918" s="589"/>
      <c r="O2918" s="589"/>
    </row>
    <row r="2919" spans="1:15" s="129" customFormat="1" ht="17.25" customHeight="1">
      <c r="A2919" s="337"/>
      <c r="B2919" s="337"/>
      <c r="C2919" s="1052" t="s">
        <v>2213</v>
      </c>
      <c r="D2919" s="1052"/>
      <c r="E2919" s="1052"/>
      <c r="F2919" s="1052"/>
      <c r="G2919" s="389" t="s">
        <v>246</v>
      </c>
      <c r="H2919" s="582"/>
      <c r="I2919" s="582"/>
      <c r="J2919" s="582">
        <f>6.5+5</f>
        <v>11.5</v>
      </c>
      <c r="K2919" s="583"/>
      <c r="L2919" s="583"/>
      <c r="M2919" s="583"/>
      <c r="N2919" s="589"/>
      <c r="O2919" s="589"/>
    </row>
    <row r="2920" spans="1:15" s="129" customFormat="1" ht="17.25" customHeight="1">
      <c r="A2920" s="337"/>
      <c r="B2920" s="337"/>
      <c r="C2920" s="1052" t="s">
        <v>2214</v>
      </c>
      <c r="D2920" s="1052"/>
      <c r="E2920" s="1052"/>
      <c r="F2920" s="1052"/>
      <c r="G2920" s="389" t="s">
        <v>246</v>
      </c>
      <c r="H2920" s="582"/>
      <c r="I2920" s="582"/>
      <c r="J2920" s="582">
        <f>3.5+5</f>
        <v>8.5</v>
      </c>
      <c r="K2920" s="583"/>
      <c r="L2920" s="583"/>
      <c r="M2920" s="583"/>
      <c r="N2920" s="589"/>
      <c r="O2920" s="589"/>
    </row>
    <row r="2921" spans="1:15" s="129" customFormat="1" ht="17.25" customHeight="1">
      <c r="A2921" s="337"/>
      <c r="B2921" s="337"/>
      <c r="C2921" s="1052" t="s">
        <v>2215</v>
      </c>
      <c r="D2921" s="1052"/>
      <c r="E2921" s="1052"/>
      <c r="F2921" s="1052"/>
      <c r="G2921" s="389" t="s">
        <v>246</v>
      </c>
      <c r="H2921" s="582"/>
      <c r="I2921" s="582"/>
      <c r="J2921" s="582">
        <f>2.5+5</f>
        <v>7.5</v>
      </c>
      <c r="K2921" s="583"/>
      <c r="L2921" s="583"/>
      <c r="M2921" s="583"/>
      <c r="N2921" s="589"/>
      <c r="O2921" s="589"/>
    </row>
    <row r="2922" spans="1:15" s="129" customFormat="1" ht="17.25" customHeight="1">
      <c r="A2922" s="337"/>
      <c r="B2922" s="337"/>
      <c r="C2922" s="1052" t="s">
        <v>2216</v>
      </c>
      <c r="D2922" s="1052"/>
      <c r="E2922" s="1052"/>
      <c r="F2922" s="1052"/>
      <c r="G2922" s="389" t="s">
        <v>246</v>
      </c>
      <c r="H2922" s="582"/>
      <c r="I2922" s="582"/>
      <c r="J2922" s="582">
        <f>2.5+5</f>
        <v>7.5</v>
      </c>
      <c r="K2922" s="583"/>
      <c r="L2922" s="583"/>
      <c r="M2922" s="583"/>
      <c r="N2922" s="589"/>
      <c r="O2922" s="589"/>
    </row>
    <row r="2923" spans="1:15" s="129" customFormat="1" ht="17.25" customHeight="1">
      <c r="A2923" s="337"/>
      <c r="B2923" s="337"/>
      <c r="C2923" s="1052" t="s">
        <v>2217</v>
      </c>
      <c r="D2923" s="1052"/>
      <c r="E2923" s="1052"/>
      <c r="F2923" s="1052"/>
      <c r="G2923" s="389" t="s">
        <v>246</v>
      </c>
      <c r="H2923" s="582"/>
      <c r="I2923" s="582"/>
      <c r="J2923" s="582">
        <f>3.5+5</f>
        <v>8.5</v>
      </c>
      <c r="K2923" s="583"/>
      <c r="L2923" s="583"/>
      <c r="M2923" s="583"/>
      <c r="N2923" s="589"/>
      <c r="O2923" s="589"/>
    </row>
    <row r="2924" spans="1:15" s="129" customFormat="1" ht="17.25" customHeight="1">
      <c r="A2924" s="337"/>
      <c r="B2924" s="337"/>
      <c r="C2924" s="1052" t="s">
        <v>2218</v>
      </c>
      <c r="D2924" s="1052"/>
      <c r="E2924" s="1052"/>
      <c r="F2924" s="1052"/>
      <c r="G2924" s="389" t="s">
        <v>246</v>
      </c>
      <c r="H2924" s="582"/>
      <c r="I2924" s="582"/>
      <c r="J2924" s="582">
        <f>10.5+5</f>
        <v>15.5</v>
      </c>
      <c r="K2924" s="583"/>
      <c r="L2924" s="583"/>
      <c r="M2924" s="583"/>
      <c r="N2924" s="589"/>
      <c r="O2924" s="589"/>
    </row>
    <row r="2925" spans="1:15" s="129" customFormat="1" ht="17.25" customHeight="1">
      <c r="A2925" s="337"/>
      <c r="B2925" s="337"/>
      <c r="C2925" s="1052" t="s">
        <v>2219</v>
      </c>
      <c r="D2925" s="1052"/>
      <c r="E2925" s="1052"/>
      <c r="F2925" s="1052"/>
      <c r="G2925" s="389" t="s">
        <v>246</v>
      </c>
      <c r="H2925" s="582"/>
      <c r="I2925" s="582"/>
      <c r="J2925" s="582">
        <f>8.6+5</f>
        <v>13.6</v>
      </c>
      <c r="K2925" s="583"/>
      <c r="L2925" s="583"/>
      <c r="M2925" s="583"/>
      <c r="N2925" s="589"/>
      <c r="O2925" s="589"/>
    </row>
    <row r="2926" spans="1:15" s="129" customFormat="1" ht="17.25" customHeight="1">
      <c r="A2926" s="337"/>
      <c r="B2926" s="337"/>
      <c r="C2926" s="1052" t="s">
        <v>2220</v>
      </c>
      <c r="D2926" s="1052"/>
      <c r="E2926" s="1052"/>
      <c r="F2926" s="1052"/>
      <c r="G2926" s="389" t="s">
        <v>246</v>
      </c>
      <c r="H2926" s="582"/>
      <c r="I2926" s="582"/>
      <c r="J2926" s="582">
        <f>1+5</f>
        <v>6</v>
      </c>
      <c r="K2926" s="583"/>
      <c r="L2926" s="583"/>
      <c r="M2926" s="583"/>
      <c r="N2926" s="589"/>
      <c r="O2926" s="589"/>
    </row>
    <row r="2927" spans="1:15" s="129" customFormat="1" ht="17.25" customHeight="1">
      <c r="A2927" s="337"/>
      <c r="B2927" s="337"/>
      <c r="C2927" s="1052" t="s">
        <v>2221</v>
      </c>
      <c r="D2927" s="1052"/>
      <c r="E2927" s="1052"/>
      <c r="F2927" s="1052"/>
      <c r="G2927" s="389" t="s">
        <v>246</v>
      </c>
      <c r="H2927" s="582"/>
      <c r="I2927" s="582"/>
      <c r="J2927" s="582">
        <f>7.05+5</f>
        <v>12.05</v>
      </c>
      <c r="K2927" s="583"/>
      <c r="L2927" s="583"/>
      <c r="M2927" s="583"/>
      <c r="N2927" s="589"/>
      <c r="O2927" s="589"/>
    </row>
    <row r="2928" spans="1:15" s="129" customFormat="1" ht="17.25" customHeight="1">
      <c r="A2928" s="337"/>
      <c r="B2928" s="337"/>
      <c r="C2928" s="1052" t="s">
        <v>2222</v>
      </c>
      <c r="D2928" s="1052"/>
      <c r="E2928" s="1052"/>
      <c r="F2928" s="1052"/>
      <c r="G2928" s="389" t="s">
        <v>246</v>
      </c>
      <c r="H2928" s="582"/>
      <c r="I2928" s="582"/>
      <c r="J2928" s="582">
        <f>9+5</f>
        <v>14</v>
      </c>
      <c r="K2928" s="583"/>
      <c r="L2928" s="583"/>
      <c r="M2928" s="583"/>
      <c r="N2928" s="589"/>
      <c r="O2928" s="589"/>
    </row>
    <row r="2929" spans="1:15" s="129" customFormat="1" ht="17.25" customHeight="1">
      <c r="A2929" s="337"/>
      <c r="B2929" s="337"/>
      <c r="C2929" s="1052" t="s">
        <v>2223</v>
      </c>
      <c r="D2929" s="1052"/>
      <c r="E2929" s="1052"/>
      <c r="F2929" s="1052"/>
      <c r="G2929" s="389" t="s">
        <v>246</v>
      </c>
      <c r="H2929" s="582"/>
      <c r="I2929" s="582"/>
      <c r="J2929" s="582">
        <f>10.5+5</f>
        <v>15.5</v>
      </c>
      <c r="K2929" s="583"/>
      <c r="L2929" s="583"/>
      <c r="M2929" s="583"/>
      <c r="N2929" s="589"/>
      <c r="O2929" s="589"/>
    </row>
    <row r="2930" spans="1:15" s="109" customFormat="1" ht="26.25" customHeight="1">
      <c r="A2930" s="377">
        <f>ORÇAMENTO!A616</f>
        <v>13271</v>
      </c>
      <c r="B2930" s="377" t="str">
        <f>ORÇAMENTO!C616</f>
        <v>16.08</v>
      </c>
      <c r="C2930" s="1071" t="str">
        <f>ORÇAMENTO!D616</f>
        <v>INSTALAÇÃO DE AR CONDICIONADO SPLIT (EVAPORADORA E CONDENSADORA), HI-WALL (PAREDE), ATÉ 9000 BTU/H</v>
      </c>
      <c r="D2930" s="1076"/>
      <c r="E2930" s="1076"/>
      <c r="F2930" s="1077"/>
      <c r="G2930" s="425" t="s">
        <v>246</v>
      </c>
      <c r="H2930" s="395">
        <f>SUM(H2931:H2932)</f>
        <v>2</v>
      </c>
      <c r="I2930" s="380"/>
      <c r="J2930" s="380"/>
      <c r="K2930" s="115"/>
      <c r="L2930" s="115"/>
      <c r="M2930" s="115"/>
      <c r="N2930" s="115"/>
      <c r="O2930" s="116"/>
    </row>
    <row r="2931" spans="1:15" s="127" customFormat="1" ht="15" customHeight="1">
      <c r="A2931" s="337"/>
      <c r="B2931" s="337"/>
      <c r="C2931" s="1052" t="s">
        <v>2224</v>
      </c>
      <c r="D2931" s="1052"/>
      <c r="E2931" s="1052"/>
      <c r="F2931" s="1052"/>
      <c r="G2931" s="389" t="s">
        <v>55</v>
      </c>
      <c r="H2931" s="469">
        <v>2</v>
      </c>
      <c r="I2931" s="340"/>
      <c r="J2931" s="340"/>
      <c r="K2931" s="340"/>
      <c r="L2931" s="340"/>
      <c r="M2931" s="340"/>
      <c r="N2931" s="340"/>
      <c r="O2931" s="340"/>
    </row>
    <row r="2932" spans="1:15" s="127" customFormat="1" ht="15" customHeight="1">
      <c r="A2932" s="337"/>
      <c r="B2932" s="337"/>
      <c r="C2932" s="1052"/>
      <c r="D2932" s="1052"/>
      <c r="E2932" s="1052"/>
      <c r="F2932" s="1052"/>
      <c r="G2932" s="389"/>
      <c r="H2932" s="469"/>
      <c r="I2932" s="340"/>
      <c r="J2932" s="340"/>
      <c r="K2932" s="340"/>
      <c r="L2932" s="340"/>
      <c r="M2932" s="340"/>
      <c r="N2932" s="340"/>
      <c r="O2932" s="340"/>
    </row>
    <row r="2933" spans="1:15" s="109" customFormat="1" ht="30.75" customHeight="1">
      <c r="A2933" s="377">
        <f>ORÇAMENTO!A617</f>
        <v>13274</v>
      </c>
      <c r="B2933" s="377" t="str">
        <f>ORÇAMENTO!C617</f>
        <v>16.09</v>
      </c>
      <c r="C2933" s="1004" t="str">
        <f>ORÇAMENTO!D617</f>
        <v>INSTALAÇÃO DE AR CONDICIONADO SPLIT (EVAPORADORA E CONDENSADORA), HI-WALL (PAREDE), DE 12000 BTU/H ATÉ 18000 BTU/H</v>
      </c>
      <c r="D2933" s="1004"/>
      <c r="E2933" s="1004"/>
      <c r="F2933" s="1004"/>
      <c r="G2933" s="425" t="s">
        <v>246</v>
      </c>
      <c r="H2933" s="395">
        <f>SUM(H2934:H2945)</f>
        <v>16</v>
      </c>
      <c r="I2933" s="380"/>
      <c r="J2933" s="380"/>
      <c r="K2933" s="115"/>
      <c r="L2933" s="115"/>
      <c r="M2933" s="115"/>
      <c r="N2933" s="115"/>
      <c r="O2933" s="116"/>
    </row>
    <row r="2934" spans="1:15" s="127" customFormat="1" ht="12.75" customHeight="1">
      <c r="A2934" s="337"/>
      <c r="B2934" s="337"/>
      <c r="C2934" s="1052" t="s">
        <v>2224</v>
      </c>
      <c r="D2934" s="1052"/>
      <c r="E2934" s="1052"/>
      <c r="F2934" s="1052"/>
      <c r="G2934" s="389" t="s">
        <v>55</v>
      </c>
      <c r="H2934" s="469">
        <v>1</v>
      </c>
      <c r="I2934" s="340"/>
      <c r="J2934" s="340"/>
      <c r="K2934" s="340"/>
      <c r="L2934" s="340"/>
      <c r="M2934" s="340"/>
      <c r="N2934" s="340"/>
      <c r="O2934" s="340"/>
    </row>
    <row r="2935" spans="1:15" s="127" customFormat="1" ht="12.75" customHeight="1">
      <c r="A2935" s="337"/>
      <c r="B2935" s="337"/>
      <c r="C2935" s="1052" t="s">
        <v>2225</v>
      </c>
      <c r="D2935" s="1052"/>
      <c r="E2935" s="1052"/>
      <c r="F2935" s="1052"/>
      <c r="G2935" s="389" t="s">
        <v>55</v>
      </c>
      <c r="H2935" s="469">
        <v>1</v>
      </c>
      <c r="I2935" s="340"/>
      <c r="J2935" s="340"/>
      <c r="K2935" s="128"/>
      <c r="L2935" s="128"/>
      <c r="M2935" s="128"/>
      <c r="N2935" s="128"/>
      <c r="O2935" s="128"/>
    </row>
    <row r="2936" spans="1:15" s="127" customFormat="1" ht="12.75" customHeight="1">
      <c r="A2936" s="337"/>
      <c r="B2936" s="337"/>
      <c r="C2936" s="1052" t="s">
        <v>2226</v>
      </c>
      <c r="D2936" s="1052"/>
      <c r="E2936" s="1052"/>
      <c r="F2936" s="1052"/>
      <c r="G2936" s="389" t="s">
        <v>55</v>
      </c>
      <c r="H2936" s="469">
        <v>1</v>
      </c>
      <c r="I2936" s="340"/>
      <c r="J2936" s="340"/>
      <c r="K2936" s="128"/>
      <c r="L2936" s="128"/>
      <c r="M2936" s="128"/>
      <c r="N2936" s="128"/>
      <c r="O2936" s="128"/>
    </row>
    <row r="2937" spans="1:15" s="127" customFormat="1" ht="12.75" customHeight="1">
      <c r="A2937" s="337"/>
      <c r="B2937" s="337"/>
      <c r="C2937" s="1052" t="s">
        <v>2227</v>
      </c>
      <c r="D2937" s="1052"/>
      <c r="E2937" s="1052"/>
      <c r="F2937" s="1052"/>
      <c r="G2937" s="389" t="s">
        <v>55</v>
      </c>
      <c r="H2937" s="469">
        <v>1</v>
      </c>
      <c r="I2937" s="340"/>
      <c r="J2937" s="340"/>
      <c r="K2937" s="128"/>
      <c r="L2937" s="128"/>
      <c r="M2937" s="128"/>
      <c r="N2937" s="128"/>
      <c r="O2937" s="128"/>
    </row>
    <row r="2938" spans="1:15" s="127" customFormat="1" ht="12.75" customHeight="1">
      <c r="A2938" s="337"/>
      <c r="B2938" s="337"/>
      <c r="C2938" s="1052" t="s">
        <v>2228</v>
      </c>
      <c r="D2938" s="1052"/>
      <c r="E2938" s="1052"/>
      <c r="F2938" s="1052"/>
      <c r="G2938" s="389" t="s">
        <v>55</v>
      </c>
      <c r="H2938" s="469">
        <v>2</v>
      </c>
      <c r="I2938" s="340"/>
      <c r="J2938" s="340"/>
      <c r="K2938" s="128"/>
      <c r="L2938" s="128"/>
      <c r="M2938" s="128"/>
      <c r="N2938" s="128"/>
      <c r="O2938" s="128"/>
    </row>
    <row r="2939" spans="1:15" s="127" customFormat="1" ht="12.75" customHeight="1">
      <c r="A2939" s="337"/>
      <c r="B2939" s="337"/>
      <c r="C2939" s="1052" t="s">
        <v>2229</v>
      </c>
      <c r="D2939" s="1052"/>
      <c r="E2939" s="1052"/>
      <c r="F2939" s="1052"/>
      <c r="G2939" s="389" t="s">
        <v>55</v>
      </c>
      <c r="H2939" s="469">
        <v>1</v>
      </c>
      <c r="I2939" s="340"/>
      <c r="J2939" s="340"/>
      <c r="K2939" s="128"/>
      <c r="L2939" s="128"/>
      <c r="M2939" s="128"/>
      <c r="N2939" s="128"/>
      <c r="O2939" s="128"/>
    </row>
    <row r="2940" spans="1:15" s="127" customFormat="1" ht="12.75" customHeight="1">
      <c r="A2940" s="337"/>
      <c r="B2940" s="337"/>
      <c r="C2940" s="1052" t="s">
        <v>2230</v>
      </c>
      <c r="D2940" s="1052"/>
      <c r="E2940" s="1052"/>
      <c r="F2940" s="1052"/>
      <c r="G2940" s="389" t="s">
        <v>55</v>
      </c>
      <c r="H2940" s="469">
        <v>1</v>
      </c>
      <c r="I2940" s="340"/>
      <c r="J2940" s="340"/>
      <c r="K2940" s="128"/>
      <c r="L2940" s="128"/>
      <c r="M2940" s="128"/>
      <c r="N2940" s="128"/>
      <c r="O2940" s="128"/>
    </row>
    <row r="2941" spans="1:15" s="127" customFormat="1" ht="12.75" customHeight="1">
      <c r="A2941" s="337"/>
      <c r="B2941" s="337"/>
      <c r="C2941" s="1052" t="s">
        <v>2231</v>
      </c>
      <c r="D2941" s="1052"/>
      <c r="E2941" s="1052"/>
      <c r="F2941" s="1052"/>
      <c r="G2941" s="389" t="s">
        <v>55</v>
      </c>
      <c r="H2941" s="469">
        <v>2</v>
      </c>
      <c r="I2941" s="340"/>
      <c r="J2941" s="340"/>
      <c r="K2941" s="128"/>
      <c r="L2941" s="128"/>
      <c r="M2941" s="128"/>
      <c r="N2941" s="128"/>
      <c r="O2941" s="128"/>
    </row>
    <row r="2942" spans="1:15" s="127" customFormat="1" ht="12.75" customHeight="1">
      <c r="A2942" s="337"/>
      <c r="B2942" s="337"/>
      <c r="C2942" s="1052" t="s">
        <v>2232</v>
      </c>
      <c r="D2942" s="1052"/>
      <c r="E2942" s="1052"/>
      <c r="F2942" s="1052"/>
      <c r="G2942" s="389" t="s">
        <v>55</v>
      </c>
      <c r="H2942" s="469">
        <v>1</v>
      </c>
      <c r="I2942" s="340"/>
      <c r="J2942" s="340"/>
      <c r="K2942" s="128"/>
      <c r="L2942" s="128"/>
      <c r="M2942" s="128"/>
      <c r="N2942" s="128"/>
      <c r="O2942" s="128"/>
    </row>
    <row r="2943" spans="1:15" s="127" customFormat="1" ht="12.75" customHeight="1">
      <c r="A2943" s="337"/>
      <c r="B2943" s="337"/>
      <c r="C2943" s="1052" t="s">
        <v>2233</v>
      </c>
      <c r="D2943" s="1052"/>
      <c r="E2943" s="1052"/>
      <c r="F2943" s="1052"/>
      <c r="G2943" s="389" t="s">
        <v>55</v>
      </c>
      <c r="H2943" s="469">
        <v>1</v>
      </c>
      <c r="I2943" s="340"/>
      <c r="J2943" s="340"/>
      <c r="K2943" s="128"/>
      <c r="L2943" s="128"/>
      <c r="M2943" s="128"/>
      <c r="N2943" s="128"/>
      <c r="O2943" s="128"/>
    </row>
    <row r="2944" spans="1:15" s="127" customFormat="1" ht="12.75" customHeight="1">
      <c r="A2944" s="337"/>
      <c r="B2944" s="337"/>
      <c r="C2944" s="1052" t="s">
        <v>2234</v>
      </c>
      <c r="D2944" s="1052"/>
      <c r="E2944" s="1052"/>
      <c r="F2944" s="1052"/>
      <c r="G2944" s="389" t="s">
        <v>55</v>
      </c>
      <c r="H2944" s="469">
        <v>2</v>
      </c>
      <c r="I2944" s="340"/>
      <c r="J2944" s="340"/>
      <c r="K2944" s="128"/>
      <c r="L2944" s="128"/>
      <c r="M2944" s="128"/>
      <c r="N2944" s="128"/>
      <c r="O2944" s="128"/>
    </row>
    <row r="2945" spans="1:16" s="127" customFormat="1" ht="12.75" customHeight="1">
      <c r="A2945" s="337"/>
      <c r="B2945" s="337"/>
      <c r="C2945" s="1052" t="s">
        <v>2235</v>
      </c>
      <c r="D2945" s="1052"/>
      <c r="E2945" s="1052"/>
      <c r="F2945" s="1052"/>
      <c r="G2945" s="389" t="s">
        <v>55</v>
      </c>
      <c r="H2945" s="469">
        <v>2</v>
      </c>
      <c r="I2945" s="340"/>
      <c r="J2945" s="340"/>
      <c r="K2945" s="128"/>
      <c r="L2945" s="128"/>
      <c r="M2945" s="128"/>
      <c r="N2945" s="128"/>
      <c r="O2945" s="128"/>
    </row>
    <row r="2946" spans="1:16" s="109" customFormat="1" ht="31.5" customHeight="1">
      <c r="A2946" s="377">
        <f>ORÇAMENTO!A618</f>
        <v>13275</v>
      </c>
      <c r="B2946" s="377" t="str">
        <f>ORÇAMENTO!C618</f>
        <v>16.10</v>
      </c>
      <c r="C2946" s="1004" t="str">
        <f>ORÇAMENTO!D618</f>
        <v>INSTALAÇÃO DE AR CONDICIONADO SPLIT (EVAPORADORA E CONDENSADORA), HI-WALL (PAREDE), DE 24000 BTU/H ATÉ 30000 BTU/H"</v>
      </c>
      <c r="D2946" s="1004"/>
      <c r="E2946" s="1004"/>
      <c r="F2946" s="1004"/>
      <c r="G2946" s="425" t="s">
        <v>55</v>
      </c>
      <c r="H2946" s="395">
        <f>SUM(H2947:H2948)</f>
        <v>5</v>
      </c>
      <c r="I2946" s="380"/>
      <c r="J2946" s="380"/>
      <c r="K2946" s="115"/>
      <c r="L2946" s="115"/>
      <c r="M2946" s="115"/>
      <c r="N2946" s="115"/>
      <c r="O2946" s="116"/>
    </row>
    <row r="2947" spans="1:16" s="144" customFormat="1" ht="15" customHeight="1">
      <c r="A2947" s="337"/>
      <c r="B2947" s="337"/>
      <c r="C2947" s="1068" t="s">
        <v>2236</v>
      </c>
      <c r="D2947" s="1069"/>
      <c r="E2947" s="1069"/>
      <c r="F2947" s="1070"/>
      <c r="G2947" s="389" t="s">
        <v>55</v>
      </c>
      <c r="H2947" s="469">
        <v>1</v>
      </c>
      <c r="I2947" s="340"/>
      <c r="J2947" s="340"/>
      <c r="K2947" s="340"/>
      <c r="L2947" s="340"/>
      <c r="M2947" s="340"/>
      <c r="N2947" s="340"/>
      <c r="O2947" s="340"/>
      <c r="P2947" s="705"/>
    </row>
    <row r="2948" spans="1:16" s="144" customFormat="1" ht="15" customHeight="1">
      <c r="A2948" s="337"/>
      <c r="B2948" s="337"/>
      <c r="C2948" s="1052" t="s">
        <v>2237</v>
      </c>
      <c r="D2948" s="1052"/>
      <c r="E2948" s="1052"/>
      <c r="F2948" s="1052"/>
      <c r="G2948" s="389" t="str">
        <f>ORÇAMENTO!E491</f>
        <v xml:space="preserve">UN </v>
      </c>
      <c r="H2948" s="469">
        <v>4</v>
      </c>
      <c r="I2948" s="340"/>
      <c r="J2948" s="340"/>
      <c r="K2948" s="128"/>
      <c r="L2948" s="128"/>
      <c r="M2948" s="128"/>
      <c r="N2948" s="128"/>
      <c r="O2948" s="128"/>
      <c r="P2948" s="705"/>
    </row>
    <row r="2949" spans="1:16" s="144" customFormat="1" ht="15" customHeight="1">
      <c r="A2949" s="377">
        <f>ORÇAMENTO!A619</f>
        <v>11509</v>
      </c>
      <c r="B2949" s="377" t="str">
        <f>ORÇAMENTO!C619</f>
        <v>16.11</v>
      </c>
      <c r="C2949" s="1003" t="str">
        <f>ORÇAMENTO!D619</f>
        <v>GÁS REFRIGERANTE R22</v>
      </c>
      <c r="D2949" s="1003"/>
      <c r="E2949" s="1003"/>
      <c r="F2949" s="1003"/>
      <c r="G2949" s="425" t="s">
        <v>170</v>
      </c>
      <c r="H2949" s="395">
        <f>SUM(H2950:H2951)</f>
        <v>25</v>
      </c>
      <c r="I2949" s="380"/>
      <c r="J2949" s="380"/>
      <c r="K2949" s="115"/>
      <c r="L2949" s="115"/>
      <c r="M2949" s="115"/>
      <c r="N2949" s="115"/>
      <c r="O2949" s="116"/>
      <c r="P2949" s="705"/>
    </row>
    <row r="2950" spans="1:16" s="144" customFormat="1" ht="15" customHeight="1">
      <c r="A2950" s="337"/>
      <c r="B2950" s="337"/>
      <c r="C2950" s="1068" t="s">
        <v>2238</v>
      </c>
      <c r="D2950" s="1069"/>
      <c r="E2950" s="1069"/>
      <c r="F2950" s="1070"/>
      <c r="G2950" s="389" t="s">
        <v>170</v>
      </c>
      <c r="H2950" s="469">
        <v>25</v>
      </c>
      <c r="I2950" s="340"/>
      <c r="J2950" s="340"/>
      <c r="K2950" s="340"/>
      <c r="L2950" s="340"/>
      <c r="M2950" s="340"/>
      <c r="N2950" s="340"/>
      <c r="O2950" s="340"/>
      <c r="P2950" s="705"/>
    </row>
    <row r="2951" spans="1:16" s="144" customFormat="1" ht="15" customHeight="1">
      <c r="A2951" s="337"/>
      <c r="B2951" s="337"/>
      <c r="C2951" s="861"/>
      <c r="D2951" s="861"/>
      <c r="E2951" s="861"/>
      <c r="F2951" s="861"/>
      <c r="G2951" s="389"/>
      <c r="H2951" s="469"/>
      <c r="I2951" s="340"/>
      <c r="J2951" s="340"/>
      <c r="K2951" s="128"/>
      <c r="L2951" s="128"/>
      <c r="M2951" s="128"/>
      <c r="N2951" s="128"/>
      <c r="O2951" s="128"/>
      <c r="P2951" s="705"/>
    </row>
    <row r="2952" spans="1:16" ht="23.25" customHeight="1">
      <c r="A2952" s="373" t="s">
        <v>11</v>
      </c>
      <c r="B2952" s="375" t="s">
        <v>13</v>
      </c>
      <c r="C2952" s="1007" t="s">
        <v>1443</v>
      </c>
      <c r="D2952" s="1007"/>
      <c r="E2952" s="1007"/>
      <c r="F2952" s="1007"/>
      <c r="G2952" s="375" t="s">
        <v>15</v>
      </c>
      <c r="H2952" s="375" t="s">
        <v>1444</v>
      </c>
      <c r="I2952" s="375" t="s">
        <v>1445</v>
      </c>
      <c r="J2952" s="375" t="s">
        <v>1446</v>
      </c>
      <c r="K2952" s="375" t="s">
        <v>1447</v>
      </c>
      <c r="L2952" s="375" t="s">
        <v>1448</v>
      </c>
      <c r="M2952" s="375" t="s">
        <v>1457</v>
      </c>
      <c r="N2952" s="375" t="s">
        <v>1450</v>
      </c>
      <c r="O2952" s="375" t="s">
        <v>1451</v>
      </c>
    </row>
    <row r="2953" spans="1:16" s="138" customFormat="1">
      <c r="A2953" s="376"/>
      <c r="B2953" s="376" t="str">
        <f>ORÇAMENTO!C620</f>
        <v>17.00</v>
      </c>
      <c r="C2953" s="1008" t="str">
        <f>ORÇAMENTO!D620</f>
        <v xml:space="preserve">INSTALAÇÕES DE GÁS </v>
      </c>
      <c r="D2953" s="1008"/>
      <c r="E2953" s="1008"/>
      <c r="F2953" s="1008"/>
      <c r="G2953" s="1039"/>
      <c r="H2953" s="1039"/>
      <c r="I2953" s="1039"/>
      <c r="J2953" s="1039"/>
      <c r="K2953" s="1039"/>
      <c r="L2953" s="1039"/>
      <c r="M2953" s="1039"/>
      <c r="N2953" s="1039"/>
      <c r="O2953" s="1039"/>
    </row>
    <row r="2954" spans="1:16" ht="24.75" customHeight="1">
      <c r="A2954" s="377">
        <f>ORÇAMENTO!A621</f>
        <v>7838</v>
      </c>
      <c r="B2954" s="377" t="str">
        <f>ORÇAMENTO!C621</f>
        <v>17.01</v>
      </c>
      <c r="C2954" s="1047" t="str">
        <f>ORÇAMENTO!D621</f>
        <v>PIG TAIL OU CHICOTE FLEXÍVEL DE COBRE, B-190, PARA CONDUÇÃO DE GÁS</v>
      </c>
      <c r="D2954" s="1047"/>
      <c r="E2954" s="1047"/>
      <c r="F2954" s="1047"/>
      <c r="G2954" s="377" t="str">
        <f>ORÇAMENTO!E621</f>
        <v xml:space="preserve">UN </v>
      </c>
      <c r="H2954" s="383">
        <f>H2955</f>
        <v>1</v>
      </c>
      <c r="I2954" s="379"/>
      <c r="J2954" s="380"/>
      <c r="K2954" s="379"/>
      <c r="L2954" s="380"/>
      <c r="M2954" s="379"/>
      <c r="N2954" s="380"/>
      <c r="O2954" s="379"/>
    </row>
    <row r="2955" spans="1:16" ht="15">
      <c r="A2955" s="342"/>
      <c r="B2955" s="342"/>
      <c r="C2955" s="1000" t="str">
        <f>UPPER("Ligação entre o botijão e a tubulação")</f>
        <v>LIGAÇÃO ENTRE O BOTIJÃO E A TUBULAÇÃO</v>
      </c>
      <c r="D2955" s="1000"/>
      <c r="E2955" s="1000"/>
      <c r="F2955" s="1000"/>
      <c r="G2955" s="343" t="s">
        <v>55</v>
      </c>
      <c r="H2955" s="584">
        <v>1</v>
      </c>
      <c r="I2955" s="582"/>
      <c r="J2955" s="582"/>
      <c r="K2955" s="583"/>
      <c r="L2955" s="583"/>
      <c r="M2955" s="583"/>
      <c r="N2955" s="589"/>
      <c r="O2955" s="589"/>
      <c r="P2955" s="712" t="s">
        <v>2239</v>
      </c>
    </row>
    <row r="2956" spans="1:16" ht="26.25" customHeight="1">
      <c r="A2956" s="377">
        <f>ORÇAMENTO!A622</f>
        <v>2555</v>
      </c>
      <c r="B2956" s="377" t="str">
        <f>ORÇAMENTO!C622</f>
        <v>17.02</v>
      </c>
      <c r="C2956" s="1047" t="str">
        <f>ORÇAMENTO!D622</f>
        <v>PLACA 20X35 EM CHAPA ESMALTADA PARA IDENTIFICAÇÃO DE LOGRADOUROS</v>
      </c>
      <c r="D2956" s="1047"/>
      <c r="E2956" s="1047"/>
      <c r="F2956" s="1047"/>
      <c r="G2956" s="377" t="str">
        <f>ORÇAMENTO!E622</f>
        <v xml:space="preserve">UN </v>
      </c>
      <c r="H2956" s="383">
        <f>SUM(H2957)</f>
        <v>1</v>
      </c>
      <c r="I2956" s="379"/>
      <c r="J2956" s="380"/>
      <c r="K2956" s="379"/>
      <c r="L2956" s="380"/>
      <c r="M2956" s="379"/>
      <c r="N2956" s="380"/>
      <c r="O2956" s="379"/>
      <c r="P2956" s="105" t="str">
        <f>UPPER(P2955)</f>
        <v>PLACA DE "CUIDADO" FIXADA NA PORTA</v>
      </c>
    </row>
    <row r="2957" spans="1:16" ht="15" customHeight="1">
      <c r="A2957" s="342"/>
      <c r="B2957" s="342"/>
      <c r="C2957" s="1000" t="s">
        <v>2240</v>
      </c>
      <c r="D2957" s="1000"/>
      <c r="E2957" s="1000"/>
      <c r="F2957" s="1000"/>
      <c r="G2957" s="343" t="s">
        <v>55</v>
      </c>
      <c r="H2957" s="585">
        <v>1</v>
      </c>
      <c r="I2957" s="586"/>
      <c r="J2957" s="586"/>
      <c r="K2957" s="587"/>
      <c r="L2957" s="587"/>
      <c r="M2957" s="587"/>
      <c r="N2957" s="592"/>
      <c r="O2957" s="592"/>
    </row>
    <row r="2958" spans="1:16" ht="39" customHeight="1">
      <c r="A2958" s="377">
        <f>ORÇAMENTO!A623</f>
        <v>92312</v>
      </c>
      <c r="B2958" s="377" t="str">
        <f>ORÇAMENTO!C623</f>
        <v>17.03</v>
      </c>
      <c r="C2958" s="1003" t="str">
        <f>ORÇAMENTO!D623</f>
        <v>COTOVELO EM COBRE, DN 22 MM, 90 GRAUS, SEM ANEL DE SOLDA, INSTALADO EM RAMAL DE DISTRIBUIÇÃO FORNECIMENTO E INSTALAÇÃO. AF_12/2015</v>
      </c>
      <c r="D2958" s="1003"/>
      <c r="E2958" s="1003"/>
      <c r="F2958" s="1003"/>
      <c r="G2958" s="377" t="str">
        <f>ORÇAMENTO!E623</f>
        <v xml:space="preserve">UN </v>
      </c>
      <c r="H2958" s="383">
        <f>H2959</f>
        <v>6</v>
      </c>
      <c r="I2958" s="379"/>
      <c r="J2958" s="380"/>
      <c r="K2958" s="379"/>
      <c r="L2958" s="380"/>
      <c r="M2958" s="379"/>
      <c r="N2958" s="380"/>
      <c r="O2958" s="379"/>
    </row>
    <row r="2959" spans="1:16">
      <c r="A2959" s="342"/>
      <c r="B2959" s="342"/>
      <c r="C2959" s="1065" t="str">
        <f>UPPER("Cotovelos tubulação de gás")</f>
        <v>COTOVELOS TUBULAÇÃO DE GÁS</v>
      </c>
      <c r="D2959" s="1065"/>
      <c r="E2959" s="1065"/>
      <c r="F2959" s="1065"/>
      <c r="G2959" s="343" t="s">
        <v>55</v>
      </c>
      <c r="H2959" s="584">
        <v>6</v>
      </c>
      <c r="I2959" s="582"/>
      <c r="J2959" s="582"/>
      <c r="K2959" s="583"/>
      <c r="L2959" s="583"/>
      <c r="M2959" s="583"/>
      <c r="N2959" s="589"/>
      <c r="O2959" s="589"/>
    </row>
    <row r="2960" spans="1:16">
      <c r="A2960" s="377">
        <f>ORÇAMENTO!A624</f>
        <v>1360</v>
      </c>
      <c r="B2960" s="377" t="str">
        <f>ORÇAMENTO!C624</f>
        <v>17.04</v>
      </c>
      <c r="C2960" s="1003" t="str">
        <f>ORÇAMENTO!D624</f>
        <v>TUBO DE COBRE RÍGIDO D= 22MM</v>
      </c>
      <c r="D2960" s="1003"/>
      <c r="E2960" s="1003"/>
      <c r="F2960" s="1003"/>
      <c r="G2960" s="390" t="str">
        <f>ORÇAMENTO!E624</f>
        <v>M</v>
      </c>
      <c r="H2960" s="383"/>
      <c r="I2960" s="379"/>
      <c r="J2960" s="380">
        <f>SUM(J2961:J2961)</f>
        <v>15</v>
      </c>
      <c r="K2960" s="379"/>
      <c r="L2960" s="380"/>
      <c r="M2960" s="379"/>
      <c r="N2960" s="380"/>
      <c r="O2960" s="379"/>
    </row>
    <row r="2961" spans="1:15">
      <c r="A2961" s="342"/>
      <c r="B2961" s="342"/>
      <c r="C2961" s="1000" t="str">
        <f>UPPER("Tubulação da instalação casa de gás")</f>
        <v>TUBULAÇÃO DA INSTALAÇÃO CASA DE GÁS</v>
      </c>
      <c r="D2961" s="1000"/>
      <c r="E2961" s="1000"/>
      <c r="F2961" s="1000"/>
      <c r="G2961" s="343" t="s">
        <v>246</v>
      </c>
      <c r="H2961" s="584"/>
      <c r="I2961" s="582"/>
      <c r="J2961" s="582">
        <v>15</v>
      </c>
      <c r="K2961" s="583"/>
      <c r="L2961" s="583"/>
      <c r="M2961" s="583"/>
      <c r="N2961" s="589"/>
      <c r="O2961" s="589"/>
    </row>
    <row r="2962" spans="1:15" ht="27" customHeight="1">
      <c r="A2962" s="377">
        <f>ORÇAMENTO!A625</f>
        <v>1369</v>
      </c>
      <c r="B2962" s="377" t="str">
        <f>ORÇAMENTO!C625</f>
        <v>17.05</v>
      </c>
      <c r="C2962" s="1003" t="str">
        <f>ORÇAMENTO!D625</f>
        <v>CURVA DE LATÃO, COBRE OU BRONZE, JUNTAS SOLDADAS, DIÂM = 22MM (3/4")</v>
      </c>
      <c r="D2962" s="1003"/>
      <c r="E2962" s="1003"/>
      <c r="F2962" s="1003"/>
      <c r="G2962" s="390" t="str">
        <f>ORÇAMENTO!E625</f>
        <v xml:space="preserve">UN </v>
      </c>
      <c r="H2962" s="383">
        <f>H2963</f>
        <v>3</v>
      </c>
      <c r="I2962" s="379"/>
      <c r="J2962" s="380"/>
      <c r="K2962" s="379"/>
      <c r="L2962" s="380"/>
      <c r="M2962" s="379"/>
      <c r="N2962" s="380"/>
      <c r="O2962" s="379"/>
    </row>
    <row r="2963" spans="1:15">
      <c r="A2963" s="342"/>
      <c r="B2963" s="342"/>
      <c r="C2963" s="1065" t="str">
        <f>UPPER("Curvas tubulação de gás")</f>
        <v>CURVAS TUBULAÇÃO DE GÁS</v>
      </c>
      <c r="D2963" s="1065"/>
      <c r="E2963" s="1065"/>
      <c r="F2963" s="1065"/>
      <c r="G2963" s="343" t="s">
        <v>55</v>
      </c>
      <c r="H2963" s="584">
        <v>3</v>
      </c>
      <c r="I2963" s="582"/>
      <c r="J2963" s="582"/>
      <c r="K2963" s="583"/>
      <c r="L2963" s="583"/>
      <c r="M2963" s="583"/>
      <c r="N2963" s="589"/>
      <c r="O2963" s="589"/>
    </row>
    <row r="2964" spans="1:15" ht="12.75" customHeight="1">
      <c r="A2964" s="377" t="str">
        <f>ORÇAMENTO!A626</f>
        <v>I-08690</v>
      </c>
      <c r="B2964" s="377" t="str">
        <f>ORÇAMENTO!C626</f>
        <v>17.06</v>
      </c>
      <c r="C2964" s="1003" t="str">
        <f>ORÇAMENTO!D626</f>
        <v xml:space="preserve">ABRAÇADEIRA 22MM </v>
      </c>
      <c r="D2964" s="1003"/>
      <c r="E2964" s="1003"/>
      <c r="F2964" s="1003"/>
      <c r="G2964" s="390" t="str">
        <f>ORÇAMENTO!E626</f>
        <v xml:space="preserve">UN </v>
      </c>
      <c r="H2964" s="383">
        <f>SUM(H2965:H2965)</f>
        <v>5</v>
      </c>
      <c r="I2964" s="379"/>
      <c r="J2964" s="380"/>
      <c r="K2964" s="379"/>
      <c r="L2964" s="380"/>
      <c r="M2964" s="379"/>
      <c r="N2964" s="380"/>
      <c r="O2964" s="379"/>
    </row>
    <row r="2965" spans="1:15">
      <c r="A2965" s="342"/>
      <c r="B2965" s="342"/>
      <c r="C2965" s="1000" t="str">
        <f>UPPER("Abraçadeiras para mangueira de gás")</f>
        <v>ABRAÇADEIRAS PARA MANGUEIRA DE GÁS</v>
      </c>
      <c r="D2965" s="1000"/>
      <c r="E2965" s="1000"/>
      <c r="F2965" s="1000"/>
      <c r="G2965" s="477" t="s">
        <v>55</v>
      </c>
      <c r="H2965" s="584">
        <v>5</v>
      </c>
      <c r="I2965" s="582"/>
      <c r="J2965" s="582"/>
      <c r="K2965" s="583"/>
      <c r="L2965" s="583"/>
      <c r="M2965" s="583"/>
      <c r="N2965" s="589"/>
      <c r="O2965" s="589"/>
    </row>
    <row r="2966" spans="1:15">
      <c r="A2966" s="377">
        <f>ORÇAMENTO!A627</f>
        <v>10881</v>
      </c>
      <c r="B2966" s="377" t="str">
        <f>ORÇAMENTO!C627</f>
        <v>17.07</v>
      </c>
      <c r="C2966" s="1003" t="str">
        <f>ORÇAMENTO!D627</f>
        <v>REGULADOR DE GÁS 2º ESTÁGIO DE 7 KG/H (INSTALAÇÃO GÁS)</v>
      </c>
      <c r="D2966" s="1003"/>
      <c r="E2966" s="1003"/>
      <c r="F2966" s="1003"/>
      <c r="G2966" s="390" t="str">
        <f>ORÇAMENTO!E627</f>
        <v xml:space="preserve">UN </v>
      </c>
      <c r="H2966" s="383">
        <f>SUM(H2967:H2967)</f>
        <v>1</v>
      </c>
      <c r="I2966" s="379"/>
      <c r="J2966" s="380"/>
      <c r="K2966" s="379"/>
      <c r="L2966" s="380"/>
      <c r="M2966" s="379"/>
      <c r="N2966" s="380"/>
      <c r="O2966" s="379"/>
    </row>
    <row r="2967" spans="1:15">
      <c r="A2967" s="342"/>
      <c r="B2967" s="342"/>
      <c r="C2967" s="1000" t="str">
        <f>UPPER("Regulador das casas de gás")</f>
        <v>REGULADOR DAS CASAS DE GÁS</v>
      </c>
      <c r="D2967" s="1000"/>
      <c r="E2967" s="1000"/>
      <c r="F2967" s="1000"/>
      <c r="G2967" s="343" t="s">
        <v>55</v>
      </c>
      <c r="H2967" s="584">
        <v>1</v>
      </c>
      <c r="I2967" s="582"/>
      <c r="J2967" s="582"/>
      <c r="K2967" s="583"/>
      <c r="L2967" s="583"/>
      <c r="M2967" s="583"/>
      <c r="N2967" s="589"/>
      <c r="O2967" s="589"/>
    </row>
    <row r="2968" spans="1:15" ht="28.5" customHeight="1">
      <c r="A2968" s="377">
        <f>ORÇAMENTO!A628</f>
        <v>10024</v>
      </c>
      <c r="B2968" s="377" t="str">
        <f>ORÇAMENTO!C628</f>
        <v>17.08</v>
      </c>
      <c r="C2968" s="1003" t="str">
        <f>ORÇAMENTO!D628</f>
        <v>CANALETA EM BLOCOS DE CONCRETO TIPO "U" (CALHA) 12X19X39, PREENCHIDOS COM ARGAMASSA TRAÇO T5(1:2:8)</v>
      </c>
      <c r="D2968" s="1003"/>
      <c r="E2968" s="1003"/>
      <c r="F2968" s="1003"/>
      <c r="G2968" s="390" t="str">
        <f>ORÇAMENTO!E628</f>
        <v>M</v>
      </c>
      <c r="H2968" s="383"/>
      <c r="I2968" s="379"/>
      <c r="J2968" s="380">
        <f>SUM(J2969:J2969)</f>
        <v>15</v>
      </c>
      <c r="K2968" s="379"/>
      <c r="L2968" s="380"/>
      <c r="M2968" s="379"/>
      <c r="N2968" s="380"/>
      <c r="O2968" s="379"/>
    </row>
    <row r="2969" spans="1:15">
      <c r="A2969" s="342"/>
      <c r="B2969" s="342"/>
      <c r="C2969" s="1000" t="str">
        <f>UPPER("Tubulação da instalação casa de gás")</f>
        <v>TUBULAÇÃO DA INSTALAÇÃO CASA DE GÁS</v>
      </c>
      <c r="D2969" s="1000"/>
      <c r="E2969" s="1000"/>
      <c r="F2969" s="1000"/>
      <c r="G2969" s="343"/>
      <c r="H2969" s="584"/>
      <c r="I2969" s="582"/>
      <c r="J2969" s="582">
        <f>J2961</f>
        <v>15</v>
      </c>
      <c r="K2969" s="583"/>
      <c r="L2969" s="583"/>
      <c r="M2969" s="583"/>
      <c r="N2969" s="589"/>
      <c r="O2969" s="589"/>
    </row>
    <row r="2970" spans="1:15" ht="25.5" customHeight="1">
      <c r="A2970" s="377">
        <f>ORÇAMENTO!A629</f>
        <v>12032</v>
      </c>
      <c r="B2970" s="377" t="str">
        <f>ORÇAMENTO!C629</f>
        <v>17.09</v>
      </c>
      <c r="C2970" s="1003" t="str">
        <f>ORÇAMENTO!D629</f>
        <v>ARGAMASSA CAL E AREIA TRAÇO 1:4 - CONFECÇÃO MECÂNICA E TRANSPORTE</v>
      </c>
      <c r="D2970" s="1003"/>
      <c r="E2970" s="1003"/>
      <c r="F2970" s="1003"/>
      <c r="G2970" s="390" t="str">
        <f>ORÇAMENTO!E629</f>
        <v>M³</v>
      </c>
      <c r="H2970" s="383"/>
      <c r="I2970" s="379"/>
      <c r="J2970" s="380"/>
      <c r="K2970" s="379"/>
      <c r="L2970" s="380"/>
      <c r="M2970" s="379"/>
      <c r="N2970" s="380"/>
      <c r="O2970" s="380">
        <f>O2971</f>
        <v>0.34199999999999997</v>
      </c>
    </row>
    <row r="2971" spans="1:15">
      <c r="A2971" s="342"/>
      <c r="B2971" s="342"/>
      <c r="C2971" s="1000" t="str">
        <f>UPPER("Tubulação da instalação casa de gás")</f>
        <v>TUBULAÇÃO DA INSTALAÇÃO CASA DE GÁS</v>
      </c>
      <c r="D2971" s="1000"/>
      <c r="E2971" s="1000"/>
      <c r="F2971" s="1000"/>
      <c r="G2971" s="343" t="s">
        <v>109</v>
      </c>
      <c r="H2971" s="584"/>
      <c r="I2971" s="582">
        <v>0.12</v>
      </c>
      <c r="J2971" s="582">
        <f>J2969</f>
        <v>15</v>
      </c>
      <c r="K2971" s="583">
        <v>0.19</v>
      </c>
      <c r="L2971" s="583"/>
      <c r="M2971" s="583"/>
      <c r="N2971" s="589"/>
      <c r="O2971" s="589">
        <f>I2971*J2971*K2971</f>
        <v>0.34199999999999997</v>
      </c>
    </row>
    <row r="2972" spans="1:15" s="109" customFormat="1" ht="21" customHeight="1">
      <c r="A2972" s="373" t="s">
        <v>11</v>
      </c>
      <c r="B2972" s="375" t="s">
        <v>13</v>
      </c>
      <c r="C2972" s="1007" t="s">
        <v>1443</v>
      </c>
      <c r="D2972" s="1007"/>
      <c r="E2972" s="1007"/>
      <c r="F2972" s="1007"/>
      <c r="G2972" s="375" t="s">
        <v>15</v>
      </c>
      <c r="H2972" s="416" t="s">
        <v>1444</v>
      </c>
      <c r="I2972" s="375" t="s">
        <v>1445</v>
      </c>
      <c r="J2972" s="375" t="s">
        <v>1446</v>
      </c>
      <c r="K2972" s="375" t="s">
        <v>1447</v>
      </c>
      <c r="L2972" s="375" t="s">
        <v>1448</v>
      </c>
      <c r="M2972" s="375" t="s">
        <v>1457</v>
      </c>
      <c r="N2972" s="375" t="s">
        <v>1450</v>
      </c>
      <c r="O2972" s="375" t="s">
        <v>1451</v>
      </c>
    </row>
    <row r="2973" spans="1:15" s="109" customFormat="1" ht="15.6" customHeight="1">
      <c r="A2973" s="376"/>
      <c r="B2973" s="376" t="str">
        <f>ORÇAMENTO!C630</f>
        <v>18.00</v>
      </c>
      <c r="C2973" s="1066" t="str">
        <f>ORÇAMENTO!D630</f>
        <v>INSTALAÇÕES DE SONORIZAÇÃO</v>
      </c>
      <c r="D2973" s="1066"/>
      <c r="E2973" s="1066"/>
      <c r="F2973" s="1066"/>
      <c r="G2973" s="1066"/>
      <c r="H2973" s="1066"/>
      <c r="I2973" s="1066"/>
      <c r="J2973" s="1066"/>
      <c r="K2973" s="1066"/>
      <c r="L2973" s="1066"/>
      <c r="M2973" s="1066"/>
      <c r="N2973" s="1066"/>
      <c r="O2973" s="1066"/>
    </row>
    <row r="2974" spans="1:15">
      <c r="A2974" s="377">
        <f>ORÇAMENTO!A631</f>
        <v>353</v>
      </c>
      <c r="B2974" s="377" t="str">
        <f>ORÇAMENTO!C631</f>
        <v>18.01</v>
      </c>
      <c r="C2974" s="1003" t="str">
        <f>ORÇAMENTO!D631</f>
        <v>ELETRODUTO DE PVC RIGIDO ROSCAVEL, DIAM=25MM (3/4")</v>
      </c>
      <c r="D2974" s="1003"/>
      <c r="E2974" s="1003"/>
      <c r="F2974" s="1003"/>
      <c r="G2974" s="390" t="s">
        <v>246</v>
      </c>
      <c r="H2974" s="383"/>
      <c r="I2974" s="379"/>
      <c r="J2974" s="380">
        <f>J2975</f>
        <v>200</v>
      </c>
      <c r="K2974" s="379"/>
      <c r="L2974" s="380"/>
      <c r="M2974" s="379"/>
      <c r="N2974" s="380"/>
      <c r="O2974" s="379"/>
    </row>
    <row r="2975" spans="1:15">
      <c r="A2975" s="342"/>
      <c r="B2975" s="342"/>
      <c r="C2975" s="1000" t="s">
        <v>2241</v>
      </c>
      <c r="D2975" s="1000"/>
      <c r="E2975" s="1000"/>
      <c r="F2975" s="1000"/>
      <c r="G2975" s="343" t="s">
        <v>2242</v>
      </c>
      <c r="H2975" s="584"/>
      <c r="I2975" s="582"/>
      <c r="J2975" s="582">
        <v>200</v>
      </c>
      <c r="K2975" s="583"/>
      <c r="L2975" s="583"/>
      <c r="M2975" s="583"/>
      <c r="N2975" s="589"/>
      <c r="O2975" s="589"/>
    </row>
    <row r="2976" spans="1:15" s="127" customFormat="1">
      <c r="A2976" s="337"/>
      <c r="B2976" s="337"/>
      <c r="C2976" s="476"/>
      <c r="D2976" s="145"/>
      <c r="E2976" s="145"/>
      <c r="F2976" s="146"/>
      <c r="G2976" s="389"/>
      <c r="H2976" s="449"/>
      <c r="I2976" s="340"/>
      <c r="J2976" s="340"/>
      <c r="K2976" s="340"/>
      <c r="L2976" s="340"/>
      <c r="M2976" s="340"/>
      <c r="N2976" s="340"/>
      <c r="O2976" s="340"/>
    </row>
    <row r="2977" spans="1:15">
      <c r="A2977" s="377">
        <f>ORÇAMENTO!A632</f>
        <v>743</v>
      </c>
      <c r="B2977" s="377" t="str">
        <f>ORÇAMENTO!C632</f>
        <v>18.02</v>
      </c>
      <c r="C2977" s="1003" t="str">
        <f>ORÇAMENTO!D632</f>
        <v>CAIXA DE PASSAGEM PVC, 4" X 4" CM, EMBUTIR, P/ELETRODUTO</v>
      </c>
      <c r="D2977" s="1003"/>
      <c r="E2977" s="1003"/>
      <c r="F2977" s="1003"/>
      <c r="G2977" s="390" t="s">
        <v>96</v>
      </c>
      <c r="H2977" s="383">
        <f>H2978</f>
        <v>15</v>
      </c>
      <c r="I2977" s="379"/>
      <c r="J2977" s="380"/>
      <c r="K2977" s="379"/>
      <c r="L2977" s="380"/>
      <c r="M2977" s="379"/>
      <c r="N2977" s="380"/>
      <c r="O2977" s="379"/>
    </row>
    <row r="2978" spans="1:15">
      <c r="A2978" s="342"/>
      <c r="B2978" s="342"/>
      <c r="C2978" s="1000" t="s">
        <v>2241</v>
      </c>
      <c r="D2978" s="1000"/>
      <c r="E2978" s="1000"/>
      <c r="F2978" s="1000"/>
      <c r="G2978" s="343" t="s">
        <v>2243</v>
      </c>
      <c r="H2978" s="584">
        <v>15</v>
      </c>
      <c r="I2978" s="582"/>
      <c r="J2978" s="582"/>
      <c r="K2978" s="583"/>
      <c r="L2978" s="583"/>
      <c r="M2978" s="583"/>
      <c r="N2978" s="589"/>
      <c r="O2978" s="589"/>
    </row>
    <row r="2979" spans="1:15" s="127" customFormat="1">
      <c r="A2979" s="337"/>
      <c r="B2979" s="337"/>
      <c r="C2979" s="476"/>
      <c r="D2979" s="145"/>
      <c r="E2979" s="145"/>
      <c r="F2979" s="146"/>
      <c r="G2979" s="389"/>
      <c r="H2979" s="449"/>
      <c r="I2979" s="340"/>
      <c r="J2979" s="340"/>
      <c r="K2979" s="340"/>
      <c r="L2979" s="340"/>
      <c r="M2979" s="340"/>
      <c r="N2979" s="340"/>
      <c r="O2979" s="340"/>
    </row>
    <row r="2980" spans="1:15" ht="37.5" customHeight="1">
      <c r="A2980" s="377" t="str">
        <f>ORÇAMENTO!A633</f>
        <v>COMP/ELE -18</v>
      </c>
      <c r="B2980" s="377" t="str">
        <f>ORÇAMENTO!C633</f>
        <v>18.03</v>
      </c>
      <c r="C2980" s="1003" t="str">
        <f>ORÇAMENTO!D633</f>
        <v>FORNECIMENTO E INSTALAÇÃO DE ARANDELA TIPO SONOFLETOR DE TETO ACUSTICA 6" AXIAL</v>
      </c>
      <c r="D2980" s="1003"/>
      <c r="E2980" s="1003"/>
      <c r="F2980" s="1003"/>
      <c r="G2980" s="390" t="s">
        <v>96</v>
      </c>
      <c r="H2980" s="383">
        <f>H2981</f>
        <v>12</v>
      </c>
      <c r="I2980" s="379"/>
      <c r="J2980" s="380"/>
      <c r="K2980" s="379"/>
      <c r="L2980" s="380"/>
      <c r="M2980" s="379"/>
      <c r="N2980" s="380"/>
      <c r="O2980" s="379"/>
    </row>
    <row r="2981" spans="1:15">
      <c r="A2981" s="342"/>
      <c r="B2981" s="342"/>
      <c r="C2981" s="1000" t="s">
        <v>2241</v>
      </c>
      <c r="D2981" s="1000"/>
      <c r="E2981" s="1000"/>
      <c r="F2981" s="1000"/>
      <c r="G2981" s="343" t="s">
        <v>2243</v>
      </c>
      <c r="H2981" s="584">
        <v>12</v>
      </c>
      <c r="I2981" s="582"/>
      <c r="J2981" s="582"/>
      <c r="K2981" s="583"/>
      <c r="L2981" s="583"/>
      <c r="M2981" s="583"/>
      <c r="N2981" s="589"/>
      <c r="O2981" s="589"/>
    </row>
    <row r="2982" spans="1:15" s="127" customFormat="1">
      <c r="A2982" s="337"/>
      <c r="B2982" s="337"/>
      <c r="C2982" s="476"/>
      <c r="D2982" s="145"/>
      <c r="E2982" s="145"/>
      <c r="F2982" s="146"/>
      <c r="G2982" s="389"/>
      <c r="H2982" s="449"/>
      <c r="I2982" s="340"/>
      <c r="J2982" s="340"/>
      <c r="K2982" s="340"/>
      <c r="L2982" s="340"/>
      <c r="M2982" s="340"/>
      <c r="N2982" s="340"/>
      <c r="O2982" s="340"/>
    </row>
    <row r="2983" spans="1:15" s="109" customFormat="1" ht="21" customHeight="1">
      <c r="A2983" s="373" t="s">
        <v>11</v>
      </c>
      <c r="B2983" s="375" t="s">
        <v>13</v>
      </c>
      <c r="C2983" s="1007" t="s">
        <v>1443</v>
      </c>
      <c r="D2983" s="1007"/>
      <c r="E2983" s="1007"/>
      <c r="F2983" s="1007"/>
      <c r="G2983" s="375" t="s">
        <v>15</v>
      </c>
      <c r="H2983" s="416" t="s">
        <v>1444</v>
      </c>
      <c r="I2983" s="375" t="s">
        <v>1445</v>
      </c>
      <c r="J2983" s="375" t="s">
        <v>1446</v>
      </c>
      <c r="K2983" s="375" t="s">
        <v>1447</v>
      </c>
      <c r="L2983" s="375" t="s">
        <v>1448</v>
      </c>
      <c r="M2983" s="375" t="s">
        <v>1457</v>
      </c>
      <c r="N2983" s="375" t="s">
        <v>1450</v>
      </c>
      <c r="O2983" s="375" t="s">
        <v>1451</v>
      </c>
    </row>
    <row r="2984" spans="1:15" s="109" customFormat="1" ht="15.6" customHeight="1">
      <c r="A2984" s="376"/>
      <c r="B2984" s="376" t="str">
        <f>ORÇAMENTO!C634</f>
        <v>19.00</v>
      </c>
      <c r="C2984" s="1067" t="str">
        <f>ORÇAMENTO!D634</f>
        <v>ELEMENTOS DECORATIVOS</v>
      </c>
      <c r="D2984" s="1067"/>
      <c r="E2984" s="1067"/>
      <c r="F2984" s="1067"/>
      <c r="G2984" s="1067"/>
      <c r="H2984" s="1067"/>
      <c r="I2984" s="1067"/>
      <c r="J2984" s="1067"/>
      <c r="K2984" s="1067"/>
      <c r="L2984" s="1067"/>
      <c r="M2984" s="1067"/>
      <c r="N2984" s="1067"/>
      <c r="O2984" s="1067"/>
    </row>
    <row r="2985" spans="1:15">
      <c r="A2985" s="376"/>
      <c r="B2985" s="376" t="str">
        <f>ORÇAMENTO!C635</f>
        <v>19.01</v>
      </c>
      <c r="C2985" s="1067" t="str">
        <f>ORÇAMENTO!D635</f>
        <v>BANCADAS DE GRANITO E RODAMÃO</v>
      </c>
      <c r="D2985" s="1067"/>
      <c r="E2985" s="1067"/>
      <c r="F2985" s="1067"/>
      <c r="G2985" s="478"/>
      <c r="H2985" s="479"/>
      <c r="I2985" s="421"/>
      <c r="J2985" s="421"/>
      <c r="K2985" s="134"/>
      <c r="L2985" s="134"/>
      <c r="M2985" s="134"/>
      <c r="N2985" s="132"/>
      <c r="O2985" s="132"/>
    </row>
    <row r="2986" spans="1:15" ht="36.75" customHeight="1">
      <c r="A2986" s="377">
        <f>ORÇAMENTO!A636</f>
        <v>10777</v>
      </c>
      <c r="B2986" s="377" t="str">
        <f>ORÇAMENTO!C636</f>
        <v>19.01.01</v>
      </c>
      <c r="C2986" s="1004" t="str">
        <f>ORÇAMENTO!D636</f>
        <v>BANCADA EM GRANITO VERDE UBATUBA, E = 2CM, COM FILETE 3CM  - CONFORME DETALHES PROJETO ARQUITETONICO</v>
      </c>
      <c r="D2986" s="1004"/>
      <c r="E2986" s="1004"/>
      <c r="F2986" s="1004"/>
      <c r="G2986" s="425" t="str">
        <f>ORÇAMENTO!E636</f>
        <v>M²</v>
      </c>
      <c r="H2986" s="383"/>
      <c r="I2986" s="380"/>
      <c r="J2986" s="380"/>
      <c r="K2986" s="115"/>
      <c r="L2986" s="115"/>
      <c r="M2986" s="115"/>
      <c r="N2986" s="116">
        <f>SUM(N2987:N2994)</f>
        <v>11.965300000000001</v>
      </c>
      <c r="O2986" s="116"/>
    </row>
    <row r="2987" spans="1:15" s="109" customFormat="1">
      <c r="A2987" s="342"/>
      <c r="B2987" s="342"/>
      <c r="C2987" s="1027" t="s">
        <v>2244</v>
      </c>
      <c r="D2987" s="1027"/>
      <c r="E2987" s="1027"/>
      <c r="F2987" s="1027"/>
      <c r="G2987" s="343" t="s">
        <v>61</v>
      </c>
      <c r="H2987" s="401">
        <v>2</v>
      </c>
      <c r="I2987" s="400"/>
      <c r="J2987" s="400"/>
      <c r="K2987" s="400"/>
      <c r="L2987" s="400"/>
      <c r="M2987" s="400"/>
      <c r="N2987" s="124">
        <f>(0.3647-0.1257+0.1+0.02+0.03)*H2987</f>
        <v>0.77800000000000002</v>
      </c>
      <c r="O2987" s="400"/>
    </row>
    <row r="2988" spans="1:15" s="109" customFormat="1">
      <c r="A2988" s="342"/>
      <c r="B2988" s="342"/>
      <c r="C2988" s="1027" t="s">
        <v>2245</v>
      </c>
      <c r="D2988" s="1027"/>
      <c r="E2988" s="1027"/>
      <c r="F2988" s="1027"/>
      <c r="G2988" s="343" t="s">
        <v>61</v>
      </c>
      <c r="H2988" s="401">
        <v>2</v>
      </c>
      <c r="I2988" s="400"/>
      <c r="J2988" s="400"/>
      <c r="K2988" s="400"/>
      <c r="L2988" s="400"/>
      <c r="M2988" s="400"/>
      <c r="N2988" s="124">
        <f>(0.5775-(0.1257*2)+0.055+0.147)*H2988</f>
        <v>1.0562</v>
      </c>
      <c r="O2988" s="400"/>
    </row>
    <row r="2989" spans="1:15" s="109" customFormat="1">
      <c r="A2989" s="342"/>
      <c r="B2989" s="342"/>
      <c r="C2989" s="1027" t="s">
        <v>2246</v>
      </c>
      <c r="D2989" s="1027"/>
      <c r="E2989" s="1027"/>
      <c r="F2989" s="1027"/>
      <c r="G2989" s="343" t="s">
        <v>61</v>
      </c>
      <c r="H2989" s="401"/>
      <c r="I2989" s="400"/>
      <c r="J2989" s="400"/>
      <c r="K2989" s="400"/>
      <c r="L2989" s="400"/>
      <c r="M2989" s="400"/>
      <c r="N2989" s="124">
        <f>(0.3647-0.1257+0.1+0.02+0.03)</f>
        <v>0.38900000000000001</v>
      </c>
      <c r="O2989" s="400"/>
    </row>
    <row r="2990" spans="1:15" s="109" customFormat="1">
      <c r="A2990" s="342"/>
      <c r="B2990" s="342"/>
      <c r="C2990" s="1027" t="s">
        <v>2247</v>
      </c>
      <c r="D2990" s="1027"/>
      <c r="E2990" s="1027"/>
      <c r="F2990" s="1027"/>
      <c r="G2990" s="343" t="s">
        <v>61</v>
      </c>
      <c r="H2990" s="401">
        <v>2</v>
      </c>
      <c r="I2990" s="400"/>
      <c r="J2990" s="400"/>
      <c r="K2990" s="400"/>
      <c r="L2990" s="400"/>
      <c r="M2990" s="400"/>
      <c r="N2990" s="124">
        <f>(0.3647-0.1257+0.1+0.02+0.03)*H2990</f>
        <v>0.77800000000000002</v>
      </c>
      <c r="O2990" s="400"/>
    </row>
    <row r="2991" spans="1:15" s="109" customFormat="1">
      <c r="A2991" s="342"/>
      <c r="B2991" s="342"/>
      <c r="C2991" s="1027" t="s">
        <v>2248</v>
      </c>
      <c r="D2991" s="1027"/>
      <c r="E2991" s="1027"/>
      <c r="F2991" s="1027"/>
      <c r="G2991" s="343" t="s">
        <v>61</v>
      </c>
      <c r="H2991" s="401">
        <v>2</v>
      </c>
      <c r="I2991" s="400"/>
      <c r="J2991" s="400"/>
      <c r="K2991" s="400"/>
      <c r="L2991" s="400"/>
      <c r="M2991" s="400"/>
      <c r="N2991" s="124">
        <f>(0.3647-0.1257+0.1+0.02+0.03)*H2991</f>
        <v>0.77800000000000002</v>
      </c>
      <c r="O2991" s="400"/>
    </row>
    <row r="2992" spans="1:15" s="109" customFormat="1">
      <c r="A2992" s="342"/>
      <c r="B2992" s="342"/>
      <c r="C2992" s="1027" t="s">
        <v>2001</v>
      </c>
      <c r="D2992" s="1027"/>
      <c r="E2992" s="1027"/>
      <c r="F2992" s="1027"/>
      <c r="G2992" s="343" t="s">
        <v>61</v>
      </c>
      <c r="H2992" s="401"/>
      <c r="I2992" s="400"/>
      <c r="J2992" s="400"/>
      <c r="K2992" s="400"/>
      <c r="L2992" s="400"/>
      <c r="M2992" s="400"/>
      <c r="N2992" s="124">
        <f>(1.2+0.2982)-0.1745</f>
        <v>1.3237000000000001</v>
      </c>
      <c r="O2992" s="400"/>
    </row>
    <row r="2993" spans="1:15" s="109" customFormat="1">
      <c r="A2993" s="342"/>
      <c r="B2993" s="342"/>
      <c r="C2993" s="1009" t="s">
        <v>1843</v>
      </c>
      <c r="D2993" s="1009"/>
      <c r="E2993" s="1009"/>
      <c r="F2993" s="1009"/>
      <c r="G2993" s="343" t="s">
        <v>61</v>
      </c>
      <c r="H2993" s="401">
        <v>2</v>
      </c>
      <c r="I2993" s="400"/>
      <c r="J2993" s="400"/>
      <c r="K2993" s="400"/>
      <c r="L2993" s="400"/>
      <c r="M2993" s="400"/>
      <c r="N2993" s="124">
        <f>((0.4*1.5)+(1.7208))*H2993</f>
        <v>4.6416000000000004</v>
      </c>
      <c r="O2993" s="400"/>
    </row>
    <row r="2994" spans="1:15" s="109" customFormat="1">
      <c r="A2994" s="342"/>
      <c r="B2994" s="342"/>
      <c r="C2994" s="1009" t="s">
        <v>1836</v>
      </c>
      <c r="D2994" s="1009"/>
      <c r="E2994" s="1009"/>
      <c r="F2994" s="1009"/>
      <c r="G2994" s="343" t="s">
        <v>61</v>
      </c>
      <c r="H2994" s="401"/>
      <c r="I2994" s="400"/>
      <c r="J2994" s="400"/>
      <c r="K2994" s="400"/>
      <c r="L2994" s="400"/>
      <c r="M2994" s="400"/>
      <c r="N2994" s="124">
        <f>((0.4*1.5)+(1.6208))</f>
        <v>2.2208000000000001</v>
      </c>
      <c r="O2994" s="400"/>
    </row>
    <row r="2995" spans="1:15" ht="42" customHeight="1">
      <c r="A2995" s="377">
        <f>ORÇAMENTO!A637</f>
        <v>11365</v>
      </c>
      <c r="B2995" s="377" t="str">
        <f>ORÇAMENTO!C637</f>
        <v>19.01.02</v>
      </c>
      <c r="C2995" s="1004" t="s">
        <v>1279</v>
      </c>
      <c r="D2995" s="1004"/>
      <c r="E2995" s="1004"/>
      <c r="F2995" s="1004"/>
      <c r="G2995" s="425" t="str">
        <f>ORÇAMENTO!E637</f>
        <v>M²</v>
      </c>
      <c r="H2995" s="383"/>
      <c r="I2995" s="380"/>
      <c r="J2995" s="380"/>
      <c r="K2995" s="115"/>
      <c r="L2995" s="115"/>
      <c r="M2995" s="115"/>
      <c r="N2995" s="116">
        <f>SUM(N2996:N3001)</f>
        <v>7.4340000000000002</v>
      </c>
      <c r="O2995" s="116"/>
    </row>
    <row r="2996" spans="1:15" s="109" customFormat="1">
      <c r="A2996" s="342"/>
      <c r="B2996" s="342"/>
      <c r="C2996" s="1027" t="s">
        <v>2082</v>
      </c>
      <c r="D2996" s="1027"/>
      <c r="E2996" s="1027"/>
      <c r="F2996" s="1027"/>
      <c r="G2996" s="343" t="s">
        <v>61</v>
      </c>
      <c r="H2996" s="401">
        <v>2</v>
      </c>
      <c r="I2996" s="400"/>
      <c r="J2996" s="400"/>
      <c r="K2996" s="400"/>
      <c r="L2996" s="400"/>
      <c r="M2996" s="400"/>
      <c r="N2996" s="124">
        <f>(1.7+0.1+0.165+0.1)*1.8*H2996</f>
        <v>7.4340000000000002</v>
      </c>
      <c r="O2996" s="400"/>
    </row>
    <row r="2997" spans="1:15" ht="12.75" customHeight="1">
      <c r="A2997" s="373" t="s">
        <v>11</v>
      </c>
      <c r="B2997" s="375" t="s">
        <v>13</v>
      </c>
      <c r="C2997" s="1007" t="s">
        <v>1443</v>
      </c>
      <c r="D2997" s="1007"/>
      <c r="E2997" s="1007"/>
      <c r="F2997" s="1007"/>
      <c r="G2997" s="375" t="s">
        <v>15</v>
      </c>
      <c r="H2997" s="375" t="s">
        <v>1444</v>
      </c>
      <c r="I2997" s="375" t="s">
        <v>1445</v>
      </c>
      <c r="J2997" s="375" t="s">
        <v>1446</v>
      </c>
      <c r="K2997" s="375" t="s">
        <v>1447</v>
      </c>
      <c r="L2997" s="375" t="s">
        <v>1448</v>
      </c>
      <c r="M2997" s="375" t="s">
        <v>1457</v>
      </c>
      <c r="N2997" s="375" t="s">
        <v>1450</v>
      </c>
      <c r="O2997" s="375" t="s">
        <v>1451</v>
      </c>
    </row>
    <row r="2998" spans="1:15">
      <c r="A2998" s="376"/>
      <c r="B2998" s="376" t="str">
        <f>ORÇAMENTO!C638</f>
        <v>19.02</v>
      </c>
      <c r="C2998" s="1051" t="str">
        <f>ORÇAMENTO!D638</f>
        <v>ACESSÓRIOS</v>
      </c>
      <c r="D2998" s="1051"/>
      <c r="E2998" s="1051"/>
      <c r="F2998" s="1051"/>
      <c r="G2998" s="1039"/>
      <c r="H2998" s="1039"/>
      <c r="I2998" s="1039"/>
      <c r="J2998" s="1039"/>
      <c r="K2998" s="1039"/>
      <c r="L2998" s="1039"/>
      <c r="M2998" s="1039"/>
      <c r="N2998" s="1039"/>
      <c r="O2998" s="1039"/>
    </row>
    <row r="2999" spans="1:15" ht="32.25" customHeight="1">
      <c r="A2999" s="377">
        <f>ORÇAMENTO!A639</f>
        <v>4629</v>
      </c>
      <c r="B2999" s="377" t="str">
        <f>ORÇAMENTO!C639</f>
        <v>19.02.01</v>
      </c>
      <c r="C2999" s="1004" t="str">
        <f>ORÇAMENTO!D639</f>
        <v>BICICLETÁRIO EM TUBO DE AÇO GALVANIZADO DIAM=50MM, EXCETO PINTURA DE ACABAMENTO</v>
      </c>
      <c r="D2999" s="1004"/>
      <c r="E2999" s="1004"/>
      <c r="F2999" s="1004"/>
      <c r="G2999" s="425" t="str">
        <f>ORÇAMENTO!E639</f>
        <v>M</v>
      </c>
      <c r="H2999" s="383"/>
      <c r="I2999" s="380"/>
      <c r="J2999" s="380">
        <f>J3000</f>
        <v>15.400000000000002</v>
      </c>
      <c r="K2999" s="115"/>
      <c r="L2999" s="115"/>
      <c r="M2999" s="115"/>
      <c r="N2999" s="116"/>
      <c r="O2999" s="116"/>
    </row>
    <row r="3000" spans="1:15" s="122" customFormat="1">
      <c r="A3000" s="337"/>
      <c r="B3000" s="337"/>
      <c r="C3000" s="1002" t="s">
        <v>2249</v>
      </c>
      <c r="D3000" s="1002"/>
      <c r="E3000" s="1002"/>
      <c r="F3000" s="1002"/>
      <c r="G3000" s="389" t="s">
        <v>246</v>
      </c>
      <c r="H3000" s="469"/>
      <c r="I3000" s="340"/>
      <c r="J3000" s="117">
        <f>((0.7*2)+0.8)*7</f>
        <v>15.400000000000002</v>
      </c>
      <c r="K3000" s="117"/>
      <c r="L3000" s="117"/>
      <c r="M3000" s="117"/>
      <c r="N3000" s="119"/>
      <c r="O3000" s="119"/>
    </row>
    <row r="3001" spans="1:15" ht="42" customHeight="1">
      <c r="A3001" s="377">
        <f>ORÇAMENTO!A640</f>
        <v>12627</v>
      </c>
      <c r="B3001" s="377" t="str">
        <f>ORÇAMENTO!C640</f>
        <v>19.02.02</v>
      </c>
      <c r="C3001" s="1004" t="str">
        <f>ORÇAMENTO!D640</f>
        <v>MASTRO SIMPLES EM TUBO FERRO GALVANIZADO, ALT (ÚTIL)= 6,80M (3,80M X 2 + 2,20M X 1 1/2) - CONFORME DETALHES PROJETO ARQUITETONICO</v>
      </c>
      <c r="D3001" s="1004"/>
      <c r="E3001" s="1004"/>
      <c r="F3001" s="1004"/>
      <c r="G3001" s="425" t="str">
        <f>ORÇAMENTO!E640</f>
        <v xml:space="preserve">UN </v>
      </c>
      <c r="H3001" s="383">
        <f>H3002</f>
        <v>3</v>
      </c>
      <c r="I3001" s="380"/>
      <c r="J3001" s="380"/>
      <c r="K3001" s="115"/>
      <c r="L3001" s="115"/>
      <c r="M3001" s="115"/>
      <c r="N3001" s="116"/>
      <c r="O3001" s="116"/>
    </row>
    <row r="3002" spans="1:15" s="122" customFormat="1">
      <c r="A3002" s="337"/>
      <c r="B3002" s="337"/>
      <c r="C3002" s="1002" t="s">
        <v>2250</v>
      </c>
      <c r="D3002" s="1002"/>
      <c r="E3002" s="1002"/>
      <c r="F3002" s="1002"/>
      <c r="G3002" s="389" t="s">
        <v>55</v>
      </c>
      <c r="H3002" s="469">
        <v>3</v>
      </c>
      <c r="I3002" s="340"/>
      <c r="J3002" s="340"/>
      <c r="K3002" s="117"/>
      <c r="L3002" s="117"/>
      <c r="M3002" s="117"/>
      <c r="N3002" s="119"/>
      <c r="O3002" s="119"/>
    </row>
    <row r="3003" spans="1:15">
      <c r="A3003" s="377">
        <f>ORÇAMENTO!A641</f>
        <v>2437</v>
      </c>
      <c r="B3003" s="377" t="str">
        <f>ORÇAMENTO!C641</f>
        <v>19.02.03</v>
      </c>
      <c r="C3003" s="1004" t="str">
        <f>ORÇAMENTO!D641</f>
        <v>BASE PARA FIXAÇÃO DE MASTRO TRIPLO</v>
      </c>
      <c r="D3003" s="1004"/>
      <c r="E3003" s="1004"/>
      <c r="F3003" s="1004"/>
      <c r="G3003" s="425" t="str">
        <f>ORÇAMENTO!E641</f>
        <v xml:space="preserve">UN </v>
      </c>
      <c r="H3003" s="383">
        <f>H3004</f>
        <v>1</v>
      </c>
      <c r="I3003" s="380"/>
      <c r="J3003" s="380"/>
      <c r="K3003" s="115"/>
      <c r="L3003" s="115"/>
      <c r="M3003" s="115"/>
      <c r="N3003" s="116"/>
      <c r="O3003" s="116"/>
    </row>
    <row r="3004" spans="1:15" s="122" customFormat="1" ht="15.75" customHeight="1">
      <c r="A3004" s="337"/>
      <c r="B3004" s="337"/>
      <c r="C3004" s="1002" t="s">
        <v>2251</v>
      </c>
      <c r="D3004" s="1002"/>
      <c r="E3004" s="1002"/>
      <c r="F3004" s="1002"/>
      <c r="G3004" s="389" t="s">
        <v>55</v>
      </c>
      <c r="H3004" s="469">
        <v>1</v>
      </c>
      <c r="I3004" s="340"/>
      <c r="J3004" s="340"/>
      <c r="K3004" s="117"/>
      <c r="L3004" s="117"/>
      <c r="M3004" s="117"/>
      <c r="N3004" s="119"/>
      <c r="O3004" s="119"/>
    </row>
    <row r="3005" spans="1:15" s="109" customFormat="1" ht="37.5" customHeight="1">
      <c r="A3005" s="377">
        <f>ORÇAMENTO!A642</f>
        <v>8539</v>
      </c>
      <c r="B3005" s="377" t="str">
        <f>ORÇAMENTO!C642</f>
        <v>19.02.04</v>
      </c>
      <c r="C3005" s="1004" t="str">
        <f>ORÇAMENTO!D642</f>
        <v>ESCADA MARINHEIRO, COM DEGRAUS EM BARRA REDONDA DE 3/4", GUARDA-CORPO EM BARRA CHATA DE 1 1/2" X 1/4" E PATAMAR(1,05 X 0,95M) EM CHAPA EXPANDIDA DE 1/4</v>
      </c>
      <c r="D3005" s="1004"/>
      <c r="E3005" s="1004"/>
      <c r="F3005" s="1004"/>
      <c r="G3005" s="425" t="s">
        <v>55</v>
      </c>
      <c r="H3005" s="395"/>
      <c r="I3005" s="380"/>
      <c r="J3005" s="380">
        <f>SUM(J3006:J3007)</f>
        <v>8.7763999999999989</v>
      </c>
      <c r="K3005" s="115"/>
      <c r="L3005" s="115"/>
      <c r="M3005" s="115"/>
      <c r="N3005" s="115"/>
      <c r="O3005" s="116"/>
    </row>
    <row r="3006" spans="1:15" s="120" customFormat="1" ht="15.75" customHeight="1">
      <c r="A3006" s="337"/>
      <c r="B3006" s="337"/>
      <c r="C3006" s="1002" t="s">
        <v>2252</v>
      </c>
      <c r="D3006" s="1002"/>
      <c r="E3006" s="1002"/>
      <c r="F3006" s="1002"/>
      <c r="G3006" s="389" t="s">
        <v>246</v>
      </c>
      <c r="H3006" s="449"/>
      <c r="I3006" s="340"/>
      <c r="J3006" s="117">
        <v>6.3263999999999996</v>
      </c>
      <c r="K3006" s="117"/>
      <c r="L3006" s="117"/>
      <c r="M3006" s="117"/>
      <c r="N3006" s="119"/>
      <c r="O3006" s="119"/>
    </row>
    <row r="3007" spans="1:15" s="120" customFormat="1" ht="15.75" customHeight="1">
      <c r="A3007" s="337"/>
      <c r="B3007" s="337"/>
      <c r="C3007" s="1002" t="s">
        <v>2253</v>
      </c>
      <c r="D3007" s="1002"/>
      <c r="E3007" s="1002"/>
      <c r="F3007" s="1002"/>
      <c r="G3007" s="389" t="s">
        <v>246</v>
      </c>
      <c r="H3007" s="449"/>
      <c r="I3007" s="340"/>
      <c r="J3007" s="117">
        <v>2.4500000000000002</v>
      </c>
      <c r="K3007" s="117"/>
      <c r="L3007" s="117"/>
      <c r="M3007" s="117"/>
      <c r="N3007" s="119"/>
      <c r="O3007" s="119"/>
    </row>
    <row r="3008" spans="1:15" s="120" customFormat="1" ht="24" customHeight="1">
      <c r="A3008" s="377">
        <f>ORÇAMENTO!A643</f>
        <v>1939</v>
      </c>
      <c r="B3008" s="377" t="str">
        <f>ORÇAMENTO!C643</f>
        <v>19.02.05</v>
      </c>
      <c r="C3008" s="1003" t="str">
        <f>ORÇAMENTO!D643</f>
        <v>COMPENSADO 15MM C/ FORMICA BRILHANTE COLADA C/ FORMICOLA OU SIMILAR, PARA PAREDE</v>
      </c>
      <c r="D3008" s="1003"/>
      <c r="E3008" s="1003"/>
      <c r="F3008" s="1003"/>
      <c r="G3008" s="425" t="str">
        <f>ORÇAMENTO!E643</f>
        <v>M²</v>
      </c>
      <c r="H3008" s="395"/>
      <c r="I3008" s="380"/>
      <c r="J3008" s="380"/>
      <c r="K3008" s="115"/>
      <c r="L3008" s="115"/>
      <c r="M3008" s="115"/>
      <c r="N3008" s="115">
        <f>SUM(N3009:N3010)</f>
        <v>9.2025000000000006</v>
      </c>
      <c r="O3008" s="116"/>
    </row>
    <row r="3009" spans="1:15" s="120" customFormat="1" ht="15.75" customHeight="1">
      <c r="A3009" s="337"/>
      <c r="B3009" s="337"/>
      <c r="C3009" s="1002" t="s">
        <v>2254</v>
      </c>
      <c r="D3009" s="1002"/>
      <c r="E3009" s="1002"/>
      <c r="F3009" s="1002"/>
      <c r="G3009" s="389" t="s">
        <v>61</v>
      </c>
      <c r="H3009" s="469"/>
      <c r="I3009" s="340"/>
      <c r="J3009" s="340">
        <v>5.3</v>
      </c>
      <c r="K3009" s="117">
        <v>0.45</v>
      </c>
      <c r="L3009" s="117"/>
      <c r="M3009" s="117"/>
      <c r="N3009" s="119">
        <f>J3009*K3009</f>
        <v>2.3849999999999998</v>
      </c>
      <c r="O3009" s="130"/>
    </row>
    <row r="3010" spans="1:15" s="120" customFormat="1" ht="15.75" customHeight="1">
      <c r="A3010" s="337"/>
      <c r="B3010" s="337"/>
      <c r="C3010" s="1019" t="s">
        <v>2255</v>
      </c>
      <c r="D3010" s="1019"/>
      <c r="E3010" s="1019"/>
      <c r="F3010" s="1019"/>
      <c r="G3010" s="389" t="s">
        <v>61</v>
      </c>
      <c r="H3010" s="469"/>
      <c r="I3010" s="340"/>
      <c r="J3010" s="340">
        <f>9.35+5.8</f>
        <v>15.149999999999999</v>
      </c>
      <c r="K3010" s="117">
        <v>0.45</v>
      </c>
      <c r="L3010" s="117"/>
      <c r="M3010" s="117"/>
      <c r="N3010" s="119">
        <f>J3010*K3010</f>
        <v>6.8174999999999999</v>
      </c>
      <c r="O3010" s="130"/>
    </row>
    <row r="3011" spans="1:15" s="120" customFormat="1" ht="32.25" customHeight="1">
      <c r="A3011" s="344" t="str">
        <f>ORÇAMENTO!A644</f>
        <v>COMP - 00/018</v>
      </c>
      <c r="B3011" s="344" t="str">
        <f>ORÇAMENTO!C644</f>
        <v>19.02.06</v>
      </c>
      <c r="C3011" s="1014" t="str">
        <f>ORÇAMENTO!D644</f>
        <v>FORNECIMENTO E INSTALAÇÃO PAINEL EM MDF 15mm NA COR NOGAL ESCURO, DA MARCA DE REFERÊNCIA FÓRMICA NO SALÃO DE JURI</v>
      </c>
      <c r="D3011" s="1014"/>
      <c r="E3011" s="1014"/>
      <c r="F3011" s="1014"/>
      <c r="G3011" s="435" t="str">
        <f>ORÇAMENTO!E644</f>
        <v xml:space="preserve">UN </v>
      </c>
      <c r="H3011" s="647">
        <f>SUM(H3012)</f>
        <v>1</v>
      </c>
      <c r="I3011" s="429"/>
      <c r="J3011" s="429"/>
      <c r="K3011" s="304"/>
      <c r="L3011" s="304"/>
      <c r="M3011" s="304"/>
      <c r="N3011" s="304"/>
      <c r="O3011" s="552"/>
    </row>
    <row r="3012" spans="1:15" s="120" customFormat="1" ht="15.75" customHeight="1">
      <c r="A3012" s="337"/>
      <c r="B3012" s="337"/>
      <c r="C3012" s="1019" t="s">
        <v>2256</v>
      </c>
      <c r="D3012" s="1019"/>
      <c r="E3012" s="1019"/>
      <c r="F3012" s="1019"/>
      <c r="G3012" s="389" t="s">
        <v>55</v>
      </c>
      <c r="H3012" s="469">
        <v>1</v>
      </c>
      <c r="I3012" s="340"/>
      <c r="J3012" s="340"/>
      <c r="K3012" s="117"/>
      <c r="L3012" s="117"/>
      <c r="M3012" s="117"/>
      <c r="N3012" s="119"/>
      <c r="O3012" s="130"/>
    </row>
    <row r="3013" spans="1:15">
      <c r="A3013" s="376"/>
      <c r="B3013" s="376" t="str">
        <f>ORÇAMENTO!C645</f>
        <v>19.03</v>
      </c>
      <c r="C3013" s="1051" t="str">
        <f>ORÇAMENTO!D645</f>
        <v xml:space="preserve">ACESSIBILIDADE </v>
      </c>
      <c r="D3013" s="1051"/>
      <c r="E3013" s="1051"/>
      <c r="F3013" s="1051"/>
      <c r="G3013" s="1039"/>
      <c r="H3013" s="1039"/>
      <c r="I3013" s="1039"/>
      <c r="J3013" s="1039"/>
      <c r="K3013" s="1039"/>
      <c r="L3013" s="1039"/>
      <c r="M3013" s="1039"/>
      <c r="N3013" s="1039"/>
      <c r="O3013" s="1039"/>
    </row>
    <row r="3014" spans="1:15" ht="33" customHeight="1">
      <c r="A3014" s="377">
        <f>ORÇAMENTO!A646</f>
        <v>13113</v>
      </c>
      <c r="B3014" s="377" t="str">
        <f>ORÇAMENTO!C646</f>
        <v>19.03.01</v>
      </c>
      <c r="C3014" s="1004" t="str">
        <f>ORÇAMENTO!D646</f>
        <v>BARRA DE APOIO, RETA, FIXA, EM AÇO INOX, L=80CM, D=1 1/4", JACKWAL OU SIMILAR</v>
      </c>
      <c r="D3014" s="1004"/>
      <c r="E3014" s="1004"/>
      <c r="F3014" s="1004"/>
      <c r="G3014" s="425" t="str">
        <f>ORÇAMENTO!E646</f>
        <v xml:space="preserve">UN </v>
      </c>
      <c r="H3014" s="383">
        <f>SUM(H3015:H3015)</f>
        <v>2</v>
      </c>
      <c r="I3014" s="380"/>
      <c r="J3014" s="380"/>
      <c r="K3014" s="115"/>
      <c r="L3014" s="115"/>
      <c r="M3014" s="115"/>
      <c r="N3014" s="115"/>
      <c r="O3014" s="116"/>
    </row>
    <row r="3015" spans="1:15" s="122" customFormat="1" ht="15.75" customHeight="1">
      <c r="A3015" s="404"/>
      <c r="B3015" s="337"/>
      <c r="C3015" s="1062" t="s">
        <v>1835</v>
      </c>
      <c r="D3015" s="1062"/>
      <c r="E3015" s="1062"/>
      <c r="F3015" s="1062"/>
      <c r="G3015" s="389" t="s">
        <v>55</v>
      </c>
      <c r="H3015" s="469">
        <v>2</v>
      </c>
      <c r="I3015" s="340"/>
      <c r="J3015" s="340"/>
      <c r="K3015" s="340"/>
      <c r="L3015" s="340"/>
      <c r="M3015" s="340"/>
      <c r="N3015" s="340"/>
      <c r="O3015" s="119"/>
    </row>
    <row r="3016" spans="1:15" s="122" customFormat="1" ht="15.75" customHeight="1">
      <c r="A3016" s="404"/>
      <c r="B3016" s="337"/>
      <c r="C3016" s="1062" t="s">
        <v>1834</v>
      </c>
      <c r="D3016" s="1062"/>
      <c r="E3016" s="1062"/>
      <c r="F3016" s="1062"/>
      <c r="G3016" s="389" t="s">
        <v>55</v>
      </c>
      <c r="H3016" s="469">
        <v>2</v>
      </c>
      <c r="I3016" s="340"/>
      <c r="J3016" s="340"/>
      <c r="K3016" s="340"/>
      <c r="L3016" s="340"/>
      <c r="M3016" s="340"/>
      <c r="N3016" s="340"/>
      <c r="O3016" s="119"/>
    </row>
    <row r="3017" spans="1:15" ht="30.75" customHeight="1">
      <c r="A3017" s="377">
        <f>ORÇAMENTO!A647</f>
        <v>13112</v>
      </c>
      <c r="B3017" s="377" t="str">
        <f>ORÇAMENTO!C647</f>
        <v>19.03.02</v>
      </c>
      <c r="C3017" s="1004" t="str">
        <f>ORÇAMENTO!D647</f>
        <v>BARRA DE APOIO, RETA, FIXA, EM AÇO INOX, L=70CM, D=1 1/4", JACKWAL OU SIMILAR</v>
      </c>
      <c r="D3017" s="1004"/>
      <c r="E3017" s="1004"/>
      <c r="F3017" s="1004"/>
      <c r="G3017" s="425" t="str">
        <f>ORÇAMENTO!E647</f>
        <v xml:space="preserve">UN </v>
      </c>
      <c r="H3017" s="383">
        <f>SUM(H3018:H3019)</f>
        <v>2</v>
      </c>
      <c r="I3017" s="380"/>
      <c r="J3017" s="380"/>
      <c r="K3017" s="115"/>
      <c r="L3017" s="115"/>
      <c r="M3017" s="115"/>
      <c r="N3017" s="115"/>
      <c r="O3017" s="116"/>
    </row>
    <row r="3018" spans="1:15" s="122" customFormat="1" ht="15.75" customHeight="1">
      <c r="A3018" s="404"/>
      <c r="B3018" s="337"/>
      <c r="C3018" s="1062" t="s">
        <v>1835</v>
      </c>
      <c r="D3018" s="1062"/>
      <c r="E3018" s="1062"/>
      <c r="F3018" s="1062"/>
      <c r="G3018" s="389" t="s">
        <v>55</v>
      </c>
      <c r="H3018" s="469">
        <v>1</v>
      </c>
      <c r="I3018" s="340"/>
      <c r="J3018" s="340"/>
      <c r="K3018" s="340"/>
      <c r="L3018" s="340"/>
      <c r="M3018" s="340"/>
      <c r="N3018" s="340"/>
      <c r="O3018" s="119"/>
    </row>
    <row r="3019" spans="1:15" s="122" customFormat="1" ht="15.75" customHeight="1">
      <c r="A3019" s="404"/>
      <c r="B3019" s="337"/>
      <c r="C3019" s="1062" t="s">
        <v>1834</v>
      </c>
      <c r="D3019" s="1062"/>
      <c r="E3019" s="1062"/>
      <c r="F3019" s="1062"/>
      <c r="G3019" s="389" t="s">
        <v>55</v>
      </c>
      <c r="H3019" s="469">
        <v>1</v>
      </c>
      <c r="I3019" s="340"/>
      <c r="J3019" s="340"/>
      <c r="K3019" s="340"/>
      <c r="L3019" s="340"/>
      <c r="M3019" s="340"/>
      <c r="N3019" s="340"/>
      <c r="O3019" s="119"/>
    </row>
    <row r="3020" spans="1:15" ht="29.25" customHeight="1">
      <c r="A3020" s="377">
        <f>ORÇAMENTO!A648</f>
        <v>13110</v>
      </c>
      <c r="B3020" s="377" t="str">
        <f>ORÇAMENTO!C648</f>
        <v>19.03.03</v>
      </c>
      <c r="C3020" s="1004" t="str">
        <f>ORÇAMENTO!D648</f>
        <v>BARRA DE APOIO, RETA, FIXA, EM AÇO INOX, L=40CM, D=1 1/4", JACKWAL OU SIMILAR</v>
      </c>
      <c r="D3020" s="1004"/>
      <c r="E3020" s="1004"/>
      <c r="F3020" s="1004"/>
      <c r="G3020" s="425" t="s">
        <v>55</v>
      </c>
      <c r="H3020" s="383">
        <f>SUM(H3021:H3022)</f>
        <v>4</v>
      </c>
      <c r="I3020" s="380"/>
      <c r="J3020" s="380"/>
      <c r="K3020" s="115"/>
      <c r="L3020" s="115"/>
      <c r="M3020" s="115"/>
      <c r="N3020" s="115"/>
      <c r="O3020" s="116"/>
    </row>
    <row r="3021" spans="1:15" s="122" customFormat="1" ht="18" customHeight="1">
      <c r="A3021" s="404"/>
      <c r="B3021" s="337"/>
      <c r="C3021" s="1062" t="s">
        <v>1835</v>
      </c>
      <c r="D3021" s="1062"/>
      <c r="E3021" s="1062"/>
      <c r="F3021" s="1062"/>
      <c r="G3021" s="389" t="s">
        <v>55</v>
      </c>
      <c r="H3021" s="469">
        <v>2</v>
      </c>
      <c r="I3021" s="340"/>
      <c r="J3021" s="340"/>
      <c r="K3021" s="340"/>
      <c r="L3021" s="340"/>
      <c r="M3021" s="340"/>
      <c r="N3021" s="340"/>
      <c r="O3021" s="119"/>
    </row>
    <row r="3022" spans="1:15" s="122" customFormat="1" ht="18" customHeight="1">
      <c r="A3022" s="404"/>
      <c r="B3022" s="337"/>
      <c r="C3022" s="1062" t="s">
        <v>1834</v>
      </c>
      <c r="D3022" s="1062"/>
      <c r="E3022" s="1062"/>
      <c r="F3022" s="1062"/>
      <c r="G3022" s="389" t="s">
        <v>55</v>
      </c>
      <c r="H3022" s="469">
        <v>2</v>
      </c>
      <c r="I3022" s="340"/>
      <c r="J3022" s="340"/>
      <c r="K3022" s="340"/>
      <c r="L3022" s="340"/>
      <c r="M3022" s="340"/>
      <c r="N3022" s="340"/>
      <c r="O3022" s="119"/>
    </row>
    <row r="3023" spans="1:15" ht="54.75" customHeight="1">
      <c r="A3023" s="377">
        <f>ORÇAMENTO!A649</f>
        <v>12385</v>
      </c>
      <c r="B3023" s="377" t="str">
        <f>ORÇAMENTO!C649</f>
        <v>19.03.04</v>
      </c>
      <c r="C3023" s="1004" t="str">
        <f>ORÇAMENTO!D649</f>
        <v>GUARDA-CORPO H = 1,10M E CORRIMÃO EM AÇO INOX, BARRAS SUPERIORES ALT=0,92M E 0,70M E BARRA INFERIOR, DIAM= 1.1/2" R, BARRAS VERTICAIS D=3/4" A CADA 0,11M, CURVAS DE AÇO INOX. - ESCADA</v>
      </c>
      <c r="D3023" s="1004"/>
      <c r="E3023" s="1004"/>
      <c r="F3023" s="1004"/>
      <c r="G3023" s="425" t="s">
        <v>246</v>
      </c>
      <c r="H3023" s="383"/>
      <c r="I3023" s="380"/>
      <c r="J3023" s="380">
        <f>SUM(J3024:J3026)</f>
        <v>96.621200000000002</v>
      </c>
      <c r="K3023" s="115"/>
      <c r="L3023" s="115"/>
      <c r="M3023" s="115"/>
      <c r="N3023" s="115"/>
      <c r="O3023" s="116"/>
    </row>
    <row r="3024" spans="1:15" ht="15.75" customHeight="1">
      <c r="A3024" s="342"/>
      <c r="B3024" s="342"/>
      <c r="C3024" s="1027" t="s">
        <v>2257</v>
      </c>
      <c r="D3024" s="1027"/>
      <c r="E3024" s="1027"/>
      <c r="F3024" s="1027"/>
      <c r="G3024" s="343" t="s">
        <v>246</v>
      </c>
      <c r="H3024" s="400"/>
      <c r="I3024" s="400"/>
      <c r="J3024" s="123">
        <f>9.35+22.113+21.9582</f>
        <v>53.421199999999999</v>
      </c>
      <c r="K3024" s="123"/>
      <c r="L3024" s="123"/>
      <c r="M3024" s="123"/>
      <c r="N3024" s="124"/>
      <c r="O3024" s="124"/>
    </row>
    <row r="3025" spans="1:15" ht="15.75" customHeight="1">
      <c r="A3025" s="342"/>
      <c r="B3025" s="342"/>
      <c r="C3025" s="1027" t="s">
        <v>2258</v>
      </c>
      <c r="D3025" s="1027"/>
      <c r="E3025" s="1027"/>
      <c r="F3025" s="1027"/>
      <c r="G3025" s="343" t="s">
        <v>246</v>
      </c>
      <c r="H3025" s="400"/>
      <c r="I3025" s="400"/>
      <c r="J3025" s="123">
        <f>12.22+16.76+6.52+1.97</f>
        <v>37.47</v>
      </c>
      <c r="K3025" s="123"/>
      <c r="L3025" s="123"/>
      <c r="M3025" s="123"/>
      <c r="N3025" s="124"/>
      <c r="O3025" s="124"/>
    </row>
    <row r="3026" spans="1:15" ht="15.75" customHeight="1">
      <c r="A3026" s="342"/>
      <c r="B3026" s="342"/>
      <c r="C3026" s="1027" t="s">
        <v>2259</v>
      </c>
      <c r="D3026" s="1027"/>
      <c r="E3026" s="1027"/>
      <c r="F3026" s="1027"/>
      <c r="G3026" s="343" t="s">
        <v>246</v>
      </c>
      <c r="H3026" s="400"/>
      <c r="I3026" s="400"/>
      <c r="J3026" s="123">
        <f>3.83+1.9</f>
        <v>5.73</v>
      </c>
      <c r="K3026" s="123"/>
      <c r="L3026" s="123"/>
      <c r="M3026" s="123"/>
      <c r="N3026" s="124"/>
      <c r="O3026" s="124"/>
    </row>
    <row r="3027" spans="1:15" ht="31.5" customHeight="1">
      <c r="A3027" s="377">
        <f>ORÇAMENTO!A650</f>
        <v>104658</v>
      </c>
      <c r="B3027" s="377" t="str">
        <f>ORÇAMENTO!C650</f>
        <v>19.03.05</v>
      </c>
      <c r="C3027" s="1047" t="str">
        <f>ORÇAMENTO!D650</f>
        <v>PISO PODOTÁTIL DE ALERTA OU DIRECIONAL, DE CONCRETO, ASSENTADO SOBRE ARGAMASSA. AF_05/2023</v>
      </c>
      <c r="D3027" s="1063"/>
      <c r="E3027" s="1063"/>
      <c r="F3027" s="1064"/>
      <c r="G3027" s="425" t="s">
        <v>61</v>
      </c>
      <c r="H3027" s="383"/>
      <c r="I3027" s="380"/>
      <c r="J3027" s="115"/>
      <c r="K3027" s="115"/>
      <c r="L3027" s="115"/>
      <c r="M3027" s="115"/>
      <c r="N3027" s="115">
        <f>SUM(N3028:N3029)</f>
        <v>28.619999999999997</v>
      </c>
      <c r="O3027" s="116"/>
    </row>
    <row r="3028" spans="1:15" s="129" customFormat="1">
      <c r="A3028" s="337"/>
      <c r="B3028" s="337"/>
      <c r="C3028" s="1001" t="s">
        <v>2260</v>
      </c>
      <c r="D3028" s="1001"/>
      <c r="E3028" s="1001"/>
      <c r="F3028" s="1001"/>
      <c r="G3028" s="343" t="s">
        <v>61</v>
      </c>
      <c r="H3028" s="538">
        <v>180</v>
      </c>
      <c r="I3028" s="340">
        <v>0.3</v>
      </c>
      <c r="J3028" s="340"/>
      <c r="K3028" s="340">
        <v>0.3</v>
      </c>
      <c r="L3028" s="457"/>
      <c r="M3028" s="117"/>
      <c r="N3028" s="119">
        <f>K3028*I3028*H3028</f>
        <v>16.2</v>
      </c>
      <c r="O3028" s="119"/>
    </row>
    <row r="3029" spans="1:15" s="129" customFormat="1">
      <c r="A3029" s="337"/>
      <c r="B3029" s="337"/>
      <c r="C3029" s="1001" t="s">
        <v>2261</v>
      </c>
      <c r="D3029" s="1001"/>
      <c r="E3029" s="1001"/>
      <c r="F3029" s="1001"/>
      <c r="G3029" s="343" t="s">
        <v>61</v>
      </c>
      <c r="H3029" s="538">
        <v>138</v>
      </c>
      <c r="I3029" s="340">
        <v>0.3</v>
      </c>
      <c r="J3029" s="340"/>
      <c r="K3029" s="340">
        <v>0.3</v>
      </c>
      <c r="L3029" s="457"/>
      <c r="M3029" s="117"/>
      <c r="N3029" s="119">
        <f>K3029*I3029*H3029</f>
        <v>12.42</v>
      </c>
      <c r="O3029" s="119"/>
    </row>
    <row r="3030" spans="1:15" ht="31.5" customHeight="1">
      <c r="A3030" s="377">
        <f>ORÇAMENTO!A651</f>
        <v>101094</v>
      </c>
      <c r="B3030" s="377" t="str">
        <f>ORÇAMENTO!C651</f>
        <v>19.03.06</v>
      </c>
      <c r="C3030" s="1047" t="str">
        <f>ORÇAMENTO!D651</f>
        <v>PISO PODOTÁTIL DE ALERTA OU DIRECIONAL, DE PVC, ASSENTADO SOBRE ARGAMASSA. AF_05/2020</v>
      </c>
      <c r="D3030" s="1063"/>
      <c r="E3030" s="1063"/>
      <c r="F3030" s="1064"/>
      <c r="G3030" s="425" t="s">
        <v>246</v>
      </c>
      <c r="H3030" s="383"/>
      <c r="I3030" s="380"/>
      <c r="J3030" s="115"/>
      <c r="K3030" s="115"/>
      <c r="L3030" s="115">
        <f>SUM(L3031:L3032)</f>
        <v>62.7</v>
      </c>
      <c r="M3030" s="115"/>
      <c r="N3030" s="115"/>
      <c r="O3030" s="116"/>
    </row>
    <row r="3031" spans="1:15" s="129" customFormat="1">
      <c r="A3031" s="337"/>
      <c r="B3031" s="337"/>
      <c r="C3031" s="1001" t="s">
        <v>2260</v>
      </c>
      <c r="D3031" s="1001"/>
      <c r="E3031" s="1001"/>
      <c r="F3031" s="1001"/>
      <c r="G3031" s="343" t="s">
        <v>246</v>
      </c>
      <c r="H3031" s="538">
        <v>74</v>
      </c>
      <c r="I3031" s="340"/>
      <c r="J3031" s="340">
        <v>0.3</v>
      </c>
      <c r="K3031" s="340"/>
      <c r="L3031" s="457">
        <f>J3031*H3031</f>
        <v>22.2</v>
      </c>
      <c r="M3031" s="117"/>
      <c r="N3031" s="119"/>
      <c r="O3031" s="119"/>
    </row>
    <row r="3032" spans="1:15" s="129" customFormat="1">
      <c r="A3032" s="337"/>
      <c r="B3032" s="337"/>
      <c r="C3032" s="1001" t="s">
        <v>2261</v>
      </c>
      <c r="D3032" s="1001"/>
      <c r="E3032" s="1001"/>
      <c r="F3032" s="1001"/>
      <c r="G3032" s="343" t="s">
        <v>246</v>
      </c>
      <c r="H3032" s="538">
        <v>135</v>
      </c>
      <c r="I3032" s="340"/>
      <c r="J3032" s="340">
        <v>0.3</v>
      </c>
      <c r="K3032" s="340"/>
      <c r="L3032" s="457">
        <f>J3032*H3032</f>
        <v>40.5</v>
      </c>
      <c r="M3032" s="117"/>
      <c r="N3032" s="119"/>
      <c r="O3032" s="119"/>
    </row>
    <row r="3033" spans="1:15">
      <c r="A3033" s="377">
        <f>ORÇAMENTO!A652</f>
        <v>2228</v>
      </c>
      <c r="B3033" s="377" t="str">
        <f>ORÇAMENTO!C652</f>
        <v>19.03.07</v>
      </c>
      <c r="C3033" s="1004" t="s">
        <v>1310</v>
      </c>
      <c r="D3033" s="1004"/>
      <c r="E3033" s="1004"/>
      <c r="F3033" s="1004"/>
      <c r="G3033" s="425" t="s">
        <v>246</v>
      </c>
      <c r="H3033" s="383"/>
      <c r="I3033" s="380"/>
      <c r="J3033" s="380">
        <f>J3034</f>
        <v>70</v>
      </c>
      <c r="K3033" s="115"/>
      <c r="L3033" s="115"/>
      <c r="M3033" s="115"/>
      <c r="N3033" s="115"/>
      <c r="O3033" s="116"/>
    </row>
    <row r="3034" spans="1:15" s="122" customFormat="1">
      <c r="A3034" s="337"/>
      <c r="B3034" s="337"/>
      <c r="C3034" s="1002" t="s">
        <v>2002</v>
      </c>
      <c r="D3034" s="1002"/>
      <c r="E3034" s="1002"/>
      <c r="F3034" s="1002"/>
      <c r="G3034" s="389" t="s">
        <v>246</v>
      </c>
      <c r="H3034" s="469"/>
      <c r="I3034" s="340"/>
      <c r="J3034" s="117">
        <v>70</v>
      </c>
      <c r="K3034" s="117"/>
      <c r="L3034" s="117"/>
      <c r="M3034" s="117"/>
      <c r="N3034" s="119"/>
      <c r="O3034" s="119"/>
    </row>
    <row r="3035" spans="1:15" ht="12.75" customHeight="1">
      <c r="A3035" s="373" t="s">
        <v>11</v>
      </c>
      <c r="B3035" s="375" t="s">
        <v>13</v>
      </c>
      <c r="C3035" s="1007" t="s">
        <v>1443</v>
      </c>
      <c r="D3035" s="1007"/>
      <c r="E3035" s="1007"/>
      <c r="F3035" s="1007"/>
      <c r="G3035" s="375" t="s">
        <v>15</v>
      </c>
      <c r="H3035" s="375" t="s">
        <v>1444</v>
      </c>
      <c r="I3035" s="375" t="s">
        <v>1445</v>
      </c>
      <c r="J3035" s="375" t="s">
        <v>1083</v>
      </c>
      <c r="K3035" s="375" t="s">
        <v>1447</v>
      </c>
      <c r="L3035" s="375" t="s">
        <v>1448</v>
      </c>
      <c r="M3035" s="375" t="s">
        <v>1457</v>
      </c>
      <c r="N3035" s="375" t="s">
        <v>1450</v>
      </c>
      <c r="O3035" s="375" t="s">
        <v>1451</v>
      </c>
    </row>
    <row r="3036" spans="1:15">
      <c r="A3036" s="376"/>
      <c r="B3036" s="376" t="str">
        <f>ORÇAMENTO!C653</f>
        <v>19.04</v>
      </c>
      <c r="C3036" s="1051" t="str">
        <f>ORÇAMENTO!D653</f>
        <v>ACESSÓRIOS PARA BANHEIROS</v>
      </c>
      <c r="D3036" s="1051"/>
      <c r="E3036" s="1051"/>
      <c r="F3036" s="1051"/>
      <c r="G3036" s="1039"/>
      <c r="H3036" s="1039"/>
      <c r="I3036" s="1039"/>
      <c r="J3036" s="1039"/>
      <c r="K3036" s="1039"/>
      <c r="L3036" s="1039"/>
      <c r="M3036" s="1039"/>
      <c r="N3036" s="1039"/>
      <c r="O3036" s="1039"/>
    </row>
    <row r="3037" spans="1:15">
      <c r="A3037" s="378">
        <f>ORÇAMENTO!A654</f>
        <v>9718</v>
      </c>
      <c r="B3037" s="377" t="str">
        <f>ORÇAMENTO!C654</f>
        <v>19.04.01</v>
      </c>
      <c r="C3037" s="1004" t="str">
        <f>ORÇAMENTO!D654</f>
        <v>ESPELHO DE CRISTAL 4MM COM MOLDURA DE ALUMÍNIO</v>
      </c>
      <c r="D3037" s="1004"/>
      <c r="E3037" s="1004"/>
      <c r="F3037" s="1004"/>
      <c r="G3037" s="425" t="str">
        <f>ORÇAMENTO!E654</f>
        <v>M²</v>
      </c>
      <c r="H3037" s="383"/>
      <c r="I3037" s="380"/>
      <c r="J3037" s="380"/>
      <c r="K3037" s="115"/>
      <c r="L3037" s="115"/>
      <c r="M3037" s="115"/>
      <c r="N3037" s="116">
        <f>SUM(N3038:N3043)</f>
        <v>12.82</v>
      </c>
      <c r="O3037" s="116"/>
    </row>
    <row r="3038" spans="1:15" s="122" customFormat="1">
      <c r="A3038" s="337"/>
      <c r="B3038" s="337"/>
      <c r="C3038" s="1002" t="s">
        <v>2262</v>
      </c>
      <c r="D3038" s="1002"/>
      <c r="E3038" s="1002"/>
      <c r="F3038" s="1002"/>
      <c r="G3038" s="389" t="s">
        <v>61</v>
      </c>
      <c r="H3038" s="469">
        <v>2</v>
      </c>
      <c r="I3038" s="340">
        <v>1</v>
      </c>
      <c r="J3038" s="340"/>
      <c r="K3038" s="117">
        <v>1.7</v>
      </c>
      <c r="L3038" s="117"/>
      <c r="M3038" s="117"/>
      <c r="N3038" s="119">
        <f>H3038*I3038*K3038</f>
        <v>3.4</v>
      </c>
      <c r="O3038" s="119"/>
    </row>
    <row r="3039" spans="1:15" s="122" customFormat="1">
      <c r="A3039" s="337"/>
      <c r="B3039" s="337"/>
      <c r="C3039" s="1002" t="s">
        <v>2077</v>
      </c>
      <c r="D3039" s="1002"/>
      <c r="E3039" s="1002"/>
      <c r="F3039" s="1002"/>
      <c r="G3039" s="389" t="s">
        <v>61</v>
      </c>
      <c r="H3039" s="469">
        <v>2</v>
      </c>
      <c r="I3039" s="340">
        <v>1</v>
      </c>
      <c r="J3039" s="340"/>
      <c r="K3039" s="117">
        <v>1.1000000000000001</v>
      </c>
      <c r="L3039" s="117"/>
      <c r="M3039" s="117"/>
      <c r="N3039" s="119">
        <f t="shared" ref="N3039:N3043" si="83">H3039*I3039*K3039</f>
        <v>2.2000000000000002</v>
      </c>
      <c r="O3039" s="119"/>
    </row>
    <row r="3040" spans="1:15" s="122" customFormat="1">
      <c r="A3040" s="337"/>
      <c r="B3040" s="337"/>
      <c r="C3040" s="1002" t="s">
        <v>2078</v>
      </c>
      <c r="D3040" s="1002"/>
      <c r="E3040" s="1002"/>
      <c r="F3040" s="1002"/>
      <c r="G3040" s="389" t="s">
        <v>61</v>
      </c>
      <c r="H3040" s="469">
        <v>2</v>
      </c>
      <c r="I3040" s="340">
        <v>1</v>
      </c>
      <c r="J3040" s="340"/>
      <c r="K3040" s="117">
        <v>1.1000000000000001</v>
      </c>
      <c r="L3040" s="117"/>
      <c r="M3040" s="117"/>
      <c r="N3040" s="119">
        <f t="shared" si="83"/>
        <v>2.2000000000000002</v>
      </c>
      <c r="O3040" s="119"/>
    </row>
    <row r="3041" spans="1:15" s="122" customFormat="1">
      <c r="A3041" s="337"/>
      <c r="B3041" s="337"/>
      <c r="C3041" s="1002" t="s">
        <v>2084</v>
      </c>
      <c r="D3041" s="1002"/>
      <c r="E3041" s="1002"/>
      <c r="F3041" s="1002"/>
      <c r="G3041" s="389" t="s">
        <v>61</v>
      </c>
      <c r="H3041" s="469">
        <v>2</v>
      </c>
      <c r="I3041" s="340">
        <v>0.35</v>
      </c>
      <c r="J3041" s="340"/>
      <c r="K3041" s="117">
        <v>1.2</v>
      </c>
      <c r="L3041" s="117"/>
      <c r="M3041" s="117"/>
      <c r="N3041" s="119">
        <f t="shared" si="83"/>
        <v>0.84</v>
      </c>
      <c r="O3041" s="119"/>
    </row>
    <row r="3042" spans="1:15" s="122" customFormat="1">
      <c r="A3042" s="337"/>
      <c r="B3042" s="337"/>
      <c r="C3042" s="1002" t="s">
        <v>2263</v>
      </c>
      <c r="D3042" s="1002"/>
      <c r="E3042" s="1002"/>
      <c r="F3042" s="1002"/>
      <c r="G3042" s="389" t="s">
        <v>61</v>
      </c>
      <c r="H3042" s="469">
        <v>2</v>
      </c>
      <c r="I3042" s="340">
        <v>1</v>
      </c>
      <c r="J3042" s="340"/>
      <c r="K3042" s="117">
        <v>1.1000000000000001</v>
      </c>
      <c r="L3042" s="117"/>
      <c r="M3042" s="117"/>
      <c r="N3042" s="119">
        <f t="shared" si="83"/>
        <v>2.2000000000000002</v>
      </c>
      <c r="O3042" s="119"/>
    </row>
    <row r="3043" spans="1:15" s="122" customFormat="1">
      <c r="A3043" s="337"/>
      <c r="B3043" s="337"/>
      <c r="C3043" s="1002" t="s">
        <v>2080</v>
      </c>
      <c r="D3043" s="1002"/>
      <c r="E3043" s="1002"/>
      <c r="F3043" s="1002"/>
      <c r="G3043" s="389" t="s">
        <v>61</v>
      </c>
      <c r="H3043" s="469">
        <v>2</v>
      </c>
      <c r="I3043" s="340">
        <v>0.9</v>
      </c>
      <c r="J3043" s="340"/>
      <c r="K3043" s="117">
        <v>1.1000000000000001</v>
      </c>
      <c r="L3043" s="117"/>
      <c r="M3043" s="117"/>
      <c r="N3043" s="119">
        <f t="shared" si="83"/>
        <v>1.9800000000000002</v>
      </c>
      <c r="O3043" s="119"/>
    </row>
    <row r="3044" spans="1:15" ht="24.75" customHeight="1">
      <c r="A3044" s="378">
        <f>ORÇAMENTO!A655</f>
        <v>12517</v>
      </c>
      <c r="B3044" s="377" t="str">
        <f>ORÇAMENTO!C655</f>
        <v>19.04.02</v>
      </c>
      <c r="C3044" s="1004" t="s">
        <v>1316</v>
      </c>
      <c r="D3044" s="1004"/>
      <c r="E3044" s="1004"/>
      <c r="F3044" s="1004"/>
      <c r="G3044" s="425" t="str">
        <f>ORÇAMENTO!E655</f>
        <v>M</v>
      </c>
      <c r="H3044" s="383"/>
      <c r="I3044" s="380"/>
      <c r="J3044" s="380"/>
      <c r="K3044" s="115"/>
      <c r="L3044" s="116">
        <f>SUM(L3045:L3050)</f>
        <v>50.199999999999996</v>
      </c>
      <c r="M3044" s="115"/>
      <c r="N3044" s="116"/>
      <c r="O3044" s="116"/>
    </row>
    <row r="3045" spans="1:15" s="122" customFormat="1">
      <c r="A3045" s="337"/>
      <c r="B3045" s="337"/>
      <c r="C3045" s="1002" t="s">
        <v>2262</v>
      </c>
      <c r="D3045" s="1002"/>
      <c r="E3045" s="1002"/>
      <c r="F3045" s="1002"/>
      <c r="G3045" s="389" t="s">
        <v>61</v>
      </c>
      <c r="H3045" s="469">
        <v>2</v>
      </c>
      <c r="I3045" s="340">
        <v>1</v>
      </c>
      <c r="J3045" s="340"/>
      <c r="K3045" s="117">
        <v>1.7</v>
      </c>
      <c r="L3045" s="117">
        <f>((I3045*2)+(K3045*2))*H3045</f>
        <v>10.8</v>
      </c>
      <c r="M3045" s="117"/>
      <c r="N3045" s="119"/>
      <c r="O3045" s="119"/>
    </row>
    <row r="3046" spans="1:15" s="122" customFormat="1">
      <c r="A3046" s="337"/>
      <c r="B3046" s="337"/>
      <c r="C3046" s="1002" t="s">
        <v>2077</v>
      </c>
      <c r="D3046" s="1002"/>
      <c r="E3046" s="1002"/>
      <c r="F3046" s="1002"/>
      <c r="G3046" s="389" t="s">
        <v>61</v>
      </c>
      <c r="H3046" s="469">
        <v>2</v>
      </c>
      <c r="I3046" s="340">
        <v>1</v>
      </c>
      <c r="J3046" s="340"/>
      <c r="K3046" s="117">
        <v>1.1000000000000001</v>
      </c>
      <c r="L3046" s="117">
        <f t="shared" ref="L3046:L3050" si="84">((I3046*2)+(K3046*2))*H3046</f>
        <v>8.4</v>
      </c>
      <c r="M3046" s="117"/>
      <c r="N3046" s="119"/>
      <c r="O3046" s="119"/>
    </row>
    <row r="3047" spans="1:15" s="122" customFormat="1">
      <c r="A3047" s="337"/>
      <c r="B3047" s="337"/>
      <c r="C3047" s="1002" t="s">
        <v>2078</v>
      </c>
      <c r="D3047" s="1002"/>
      <c r="E3047" s="1002"/>
      <c r="F3047" s="1002"/>
      <c r="G3047" s="389" t="s">
        <v>61</v>
      </c>
      <c r="H3047" s="469">
        <v>2</v>
      </c>
      <c r="I3047" s="340">
        <v>1</v>
      </c>
      <c r="J3047" s="340"/>
      <c r="K3047" s="117">
        <v>1.1000000000000001</v>
      </c>
      <c r="L3047" s="117">
        <f t="shared" si="84"/>
        <v>8.4</v>
      </c>
      <c r="M3047" s="117"/>
      <c r="N3047" s="119"/>
      <c r="O3047" s="119"/>
    </row>
    <row r="3048" spans="1:15" s="122" customFormat="1">
      <c r="A3048" s="337"/>
      <c r="B3048" s="337"/>
      <c r="C3048" s="1002" t="s">
        <v>2084</v>
      </c>
      <c r="D3048" s="1002"/>
      <c r="E3048" s="1002"/>
      <c r="F3048" s="1002"/>
      <c r="G3048" s="389" t="s">
        <v>61</v>
      </c>
      <c r="H3048" s="469">
        <v>2</v>
      </c>
      <c r="I3048" s="340">
        <v>0.35</v>
      </c>
      <c r="J3048" s="340"/>
      <c r="K3048" s="117">
        <v>1.2</v>
      </c>
      <c r="L3048" s="117">
        <f t="shared" si="84"/>
        <v>6.1999999999999993</v>
      </c>
      <c r="M3048" s="117"/>
      <c r="N3048" s="119"/>
      <c r="O3048" s="119"/>
    </row>
    <row r="3049" spans="1:15" s="122" customFormat="1">
      <c r="A3049" s="337"/>
      <c r="B3049" s="337"/>
      <c r="C3049" s="1002" t="s">
        <v>2263</v>
      </c>
      <c r="D3049" s="1002"/>
      <c r="E3049" s="1002"/>
      <c r="F3049" s="1002"/>
      <c r="G3049" s="389" t="s">
        <v>61</v>
      </c>
      <c r="H3049" s="469">
        <v>2</v>
      </c>
      <c r="I3049" s="340">
        <v>1</v>
      </c>
      <c r="J3049" s="340"/>
      <c r="K3049" s="117">
        <v>1.1000000000000001</v>
      </c>
      <c r="L3049" s="117">
        <f t="shared" si="84"/>
        <v>8.4</v>
      </c>
      <c r="M3049" s="117"/>
      <c r="N3049" s="119"/>
      <c r="O3049" s="119"/>
    </row>
    <row r="3050" spans="1:15" s="122" customFormat="1">
      <c r="A3050" s="337"/>
      <c r="B3050" s="337"/>
      <c r="C3050" s="1002" t="s">
        <v>2080</v>
      </c>
      <c r="D3050" s="1002"/>
      <c r="E3050" s="1002"/>
      <c r="F3050" s="1002"/>
      <c r="G3050" s="389" t="s">
        <v>61</v>
      </c>
      <c r="H3050" s="469">
        <v>2</v>
      </c>
      <c r="I3050" s="340">
        <v>0.9</v>
      </c>
      <c r="J3050" s="340"/>
      <c r="K3050" s="117">
        <v>1.1000000000000001</v>
      </c>
      <c r="L3050" s="117">
        <f t="shared" si="84"/>
        <v>8</v>
      </c>
      <c r="M3050" s="117"/>
      <c r="N3050" s="119"/>
      <c r="O3050" s="119"/>
    </row>
    <row r="3051" spans="1:15">
      <c r="A3051" s="377">
        <f>ORÇAMENTO!A656</f>
        <v>12511</v>
      </c>
      <c r="B3051" s="377" t="str">
        <f>ORÇAMENTO!C656</f>
        <v>19.04.03</v>
      </c>
      <c r="C3051" s="1004" t="str">
        <f>ORÇAMENTO!D656</f>
        <v>DISPENSER, EM PLÁSTICO, PARA PAPEL HIGIÊNICO EM ROLO</v>
      </c>
      <c r="D3051" s="1004"/>
      <c r="E3051" s="1004"/>
      <c r="F3051" s="1004"/>
      <c r="G3051" s="425" t="str">
        <f>ORÇAMENTO!E656</f>
        <v xml:space="preserve">UN </v>
      </c>
      <c r="H3051" s="383">
        <f>SUM(H3052:H3057)</f>
        <v>14</v>
      </c>
      <c r="I3051" s="380"/>
      <c r="J3051" s="380"/>
      <c r="K3051" s="115"/>
      <c r="L3051" s="115"/>
      <c r="M3051" s="115"/>
      <c r="N3051" s="115"/>
      <c r="O3051" s="116"/>
    </row>
    <row r="3052" spans="1:15" s="122" customFormat="1">
      <c r="A3052" s="337"/>
      <c r="B3052" s="337"/>
      <c r="C3052" s="1002" t="s">
        <v>2262</v>
      </c>
      <c r="D3052" s="1002"/>
      <c r="E3052" s="1002"/>
      <c r="F3052" s="1002"/>
      <c r="G3052" s="389" t="s">
        <v>55</v>
      </c>
      <c r="H3052" s="469">
        <v>2</v>
      </c>
      <c r="I3052" s="340"/>
      <c r="J3052" s="340"/>
      <c r="K3052" s="117"/>
      <c r="L3052" s="117"/>
      <c r="M3052" s="117"/>
      <c r="N3052" s="119"/>
      <c r="O3052" s="340"/>
    </row>
    <row r="3053" spans="1:15" s="122" customFormat="1">
      <c r="A3053" s="337"/>
      <c r="B3053" s="337"/>
      <c r="C3053" s="1002" t="s">
        <v>2077</v>
      </c>
      <c r="D3053" s="1002"/>
      <c r="E3053" s="1002"/>
      <c r="F3053" s="1002"/>
      <c r="G3053" s="389" t="s">
        <v>55</v>
      </c>
      <c r="H3053" s="469">
        <v>4</v>
      </c>
      <c r="I3053" s="340"/>
      <c r="J3053" s="340"/>
      <c r="K3053" s="117"/>
      <c r="L3053" s="117"/>
      <c r="M3053" s="117"/>
      <c r="N3053" s="119"/>
      <c r="O3053" s="340"/>
    </row>
    <row r="3054" spans="1:15" s="122" customFormat="1">
      <c r="A3054" s="337"/>
      <c r="B3054" s="337"/>
      <c r="C3054" s="1002" t="s">
        <v>2078</v>
      </c>
      <c r="D3054" s="1002"/>
      <c r="E3054" s="1002"/>
      <c r="F3054" s="1002"/>
      <c r="G3054" s="389" t="s">
        <v>55</v>
      </c>
      <c r="H3054" s="469">
        <v>2</v>
      </c>
      <c r="I3054" s="340"/>
      <c r="J3054" s="340"/>
      <c r="K3054" s="117"/>
      <c r="L3054" s="117"/>
      <c r="M3054" s="117"/>
      <c r="N3054" s="119"/>
      <c r="O3054" s="340"/>
    </row>
    <row r="3055" spans="1:15" s="122" customFormat="1">
      <c r="A3055" s="337"/>
      <c r="B3055" s="337"/>
      <c r="C3055" s="1002" t="s">
        <v>2084</v>
      </c>
      <c r="D3055" s="1002"/>
      <c r="E3055" s="1002"/>
      <c r="F3055" s="1002"/>
      <c r="G3055" s="389" t="s">
        <v>55</v>
      </c>
      <c r="H3055" s="469">
        <v>2</v>
      </c>
      <c r="I3055" s="340"/>
      <c r="J3055" s="340"/>
      <c r="K3055" s="117"/>
      <c r="L3055" s="117"/>
      <c r="M3055" s="117"/>
      <c r="N3055" s="119"/>
      <c r="O3055" s="340"/>
    </row>
    <row r="3056" spans="1:15" s="122" customFormat="1">
      <c r="A3056" s="337"/>
      <c r="B3056" s="337"/>
      <c r="C3056" s="1002" t="s">
        <v>2263</v>
      </c>
      <c r="D3056" s="1002"/>
      <c r="E3056" s="1002"/>
      <c r="F3056" s="1002"/>
      <c r="G3056" s="389" t="s">
        <v>55</v>
      </c>
      <c r="H3056" s="469">
        <v>2</v>
      </c>
      <c r="I3056" s="340"/>
      <c r="J3056" s="340"/>
      <c r="K3056" s="117"/>
      <c r="L3056" s="117"/>
      <c r="M3056" s="117"/>
      <c r="N3056" s="119"/>
      <c r="O3056" s="340"/>
    </row>
    <row r="3057" spans="1:15" s="122" customFormat="1">
      <c r="A3057" s="337"/>
      <c r="B3057" s="337"/>
      <c r="C3057" s="1002" t="s">
        <v>2080</v>
      </c>
      <c r="D3057" s="1002"/>
      <c r="E3057" s="1002"/>
      <c r="F3057" s="1002"/>
      <c r="G3057" s="389" t="s">
        <v>55</v>
      </c>
      <c r="H3057" s="469">
        <v>2</v>
      </c>
      <c r="I3057" s="340"/>
      <c r="J3057" s="340" t="s">
        <v>1083</v>
      </c>
      <c r="K3057" s="117"/>
      <c r="L3057" s="117"/>
      <c r="M3057" s="117"/>
      <c r="N3057" s="119"/>
      <c r="O3057" s="340"/>
    </row>
    <row r="3058" spans="1:15">
      <c r="A3058" s="377">
        <f>ORÇAMENTO!A657</f>
        <v>4286</v>
      </c>
      <c r="B3058" s="377" t="str">
        <f>ORÇAMENTO!C657</f>
        <v>19.04.04</v>
      </c>
      <c r="C3058" s="1004" t="str">
        <f>ORÇAMENTO!D657</f>
        <v>DISPENSER PARA SABONETE LÍQUIDO</v>
      </c>
      <c r="D3058" s="1004"/>
      <c r="E3058" s="1004"/>
      <c r="F3058" s="1004"/>
      <c r="G3058" s="425" t="str">
        <f>ORÇAMENTO!E657</f>
        <v xml:space="preserve">UN </v>
      </c>
      <c r="H3058" s="383">
        <f>SUM(H3059:H3064)</f>
        <v>12</v>
      </c>
      <c r="I3058" s="380"/>
      <c r="J3058" s="380"/>
      <c r="K3058" s="115"/>
      <c r="L3058" s="115"/>
      <c r="M3058" s="115"/>
      <c r="N3058" s="115"/>
      <c r="O3058" s="116"/>
    </row>
    <row r="3059" spans="1:15">
      <c r="A3059" s="342"/>
      <c r="B3059" s="342"/>
      <c r="C3059" s="1002" t="s">
        <v>2262</v>
      </c>
      <c r="D3059" s="1002"/>
      <c r="E3059" s="1002"/>
      <c r="F3059" s="1002"/>
      <c r="G3059" s="389" t="s">
        <v>55</v>
      </c>
      <c r="H3059" s="469">
        <v>2</v>
      </c>
      <c r="I3059" s="400"/>
      <c r="J3059" s="400"/>
      <c r="K3059" s="123"/>
      <c r="L3059" s="123"/>
      <c r="M3059" s="123"/>
      <c r="N3059" s="124"/>
      <c r="O3059" s="400"/>
    </row>
    <row r="3060" spans="1:15">
      <c r="A3060" s="342"/>
      <c r="B3060" s="342"/>
      <c r="C3060" s="1002" t="s">
        <v>2077</v>
      </c>
      <c r="D3060" s="1002"/>
      <c r="E3060" s="1002"/>
      <c r="F3060" s="1002"/>
      <c r="G3060" s="389" t="s">
        <v>55</v>
      </c>
      <c r="H3060" s="469">
        <v>2</v>
      </c>
      <c r="I3060" s="400"/>
      <c r="J3060" s="400"/>
      <c r="K3060" s="123"/>
      <c r="L3060" s="123"/>
      <c r="M3060" s="123"/>
      <c r="N3060" s="124"/>
      <c r="O3060" s="400"/>
    </row>
    <row r="3061" spans="1:15">
      <c r="A3061" s="342"/>
      <c r="B3061" s="342"/>
      <c r="C3061" s="1002" t="s">
        <v>2078</v>
      </c>
      <c r="D3061" s="1002"/>
      <c r="E3061" s="1002"/>
      <c r="F3061" s="1002"/>
      <c r="G3061" s="389" t="s">
        <v>55</v>
      </c>
      <c r="H3061" s="469">
        <v>2</v>
      </c>
      <c r="I3061" s="400"/>
      <c r="J3061" s="400"/>
      <c r="K3061" s="123"/>
      <c r="L3061" s="123"/>
      <c r="M3061" s="123"/>
      <c r="N3061" s="124"/>
      <c r="O3061" s="400"/>
    </row>
    <row r="3062" spans="1:15">
      <c r="A3062" s="342"/>
      <c r="B3062" s="342"/>
      <c r="C3062" s="1002" t="s">
        <v>2084</v>
      </c>
      <c r="D3062" s="1002"/>
      <c r="E3062" s="1002"/>
      <c r="F3062" s="1002"/>
      <c r="G3062" s="389" t="s">
        <v>55</v>
      </c>
      <c r="H3062" s="469">
        <v>2</v>
      </c>
      <c r="I3062" s="400"/>
      <c r="J3062" s="400"/>
      <c r="K3062" s="123"/>
      <c r="L3062" s="123"/>
      <c r="M3062" s="123"/>
      <c r="N3062" s="124"/>
      <c r="O3062" s="400"/>
    </row>
    <row r="3063" spans="1:15">
      <c r="A3063" s="342"/>
      <c r="B3063" s="342"/>
      <c r="C3063" s="1002" t="s">
        <v>2263</v>
      </c>
      <c r="D3063" s="1002"/>
      <c r="E3063" s="1002"/>
      <c r="F3063" s="1002"/>
      <c r="G3063" s="389" t="s">
        <v>55</v>
      </c>
      <c r="H3063" s="469">
        <v>2</v>
      </c>
      <c r="I3063" s="400"/>
      <c r="J3063" s="400"/>
      <c r="K3063" s="123"/>
      <c r="L3063" s="123"/>
      <c r="M3063" s="123"/>
      <c r="N3063" s="124"/>
      <c r="O3063" s="400"/>
    </row>
    <row r="3064" spans="1:15">
      <c r="A3064" s="342"/>
      <c r="B3064" s="342"/>
      <c r="C3064" s="1002" t="s">
        <v>2080</v>
      </c>
      <c r="D3064" s="1002"/>
      <c r="E3064" s="1002"/>
      <c r="F3064" s="1002"/>
      <c r="G3064" s="389" t="s">
        <v>55</v>
      </c>
      <c r="H3064" s="469">
        <v>2</v>
      </c>
      <c r="I3064" s="400"/>
      <c r="J3064" s="400"/>
      <c r="K3064" s="123"/>
      <c r="L3064" s="123"/>
      <c r="M3064" s="123"/>
      <c r="N3064" s="124"/>
      <c r="O3064" s="400"/>
    </row>
    <row r="3065" spans="1:15">
      <c r="A3065" s="377">
        <f>ORÇAMENTO!A658</f>
        <v>4287</v>
      </c>
      <c r="B3065" s="377" t="str">
        <f>ORÇAMENTO!C658</f>
        <v>19.04.05</v>
      </c>
      <c r="C3065" s="1004" t="str">
        <f>ORÇAMENTO!D658</f>
        <v>DISPENSER PARA TOALHA INTERFOLHADA</v>
      </c>
      <c r="D3065" s="1004"/>
      <c r="E3065" s="1004"/>
      <c r="F3065" s="1004"/>
      <c r="G3065" s="425" t="str">
        <f>ORÇAMENTO!E658</f>
        <v xml:space="preserve">UN </v>
      </c>
      <c r="H3065" s="383">
        <f>SUM(H3066:H3071)</f>
        <v>12</v>
      </c>
      <c r="I3065" s="380"/>
      <c r="J3065" s="380"/>
      <c r="K3065" s="115"/>
      <c r="L3065" s="115"/>
      <c r="M3065" s="115"/>
      <c r="N3065" s="115"/>
      <c r="O3065" s="116"/>
    </row>
    <row r="3066" spans="1:15">
      <c r="A3066" s="342"/>
      <c r="B3066" s="342"/>
      <c r="C3066" s="1002" t="s">
        <v>2262</v>
      </c>
      <c r="D3066" s="1002"/>
      <c r="E3066" s="1002"/>
      <c r="F3066" s="1002"/>
      <c r="G3066" s="389" t="s">
        <v>55</v>
      </c>
      <c r="H3066" s="469">
        <v>2</v>
      </c>
      <c r="I3066" s="400"/>
      <c r="J3066" s="400"/>
      <c r="K3066" s="123"/>
      <c r="L3066" s="123"/>
      <c r="M3066" s="123"/>
      <c r="N3066" s="124"/>
      <c r="O3066" s="400"/>
    </row>
    <row r="3067" spans="1:15">
      <c r="A3067" s="342"/>
      <c r="B3067" s="342"/>
      <c r="C3067" s="1002" t="s">
        <v>2077</v>
      </c>
      <c r="D3067" s="1002"/>
      <c r="E3067" s="1002"/>
      <c r="F3067" s="1002"/>
      <c r="G3067" s="389" t="s">
        <v>55</v>
      </c>
      <c r="H3067" s="469">
        <v>2</v>
      </c>
      <c r="I3067" s="400"/>
      <c r="J3067" s="400"/>
      <c r="K3067" s="123"/>
      <c r="L3067" s="123"/>
      <c r="M3067" s="123"/>
      <c r="N3067" s="124"/>
      <c r="O3067" s="400"/>
    </row>
    <row r="3068" spans="1:15">
      <c r="A3068" s="342"/>
      <c r="B3068" s="342"/>
      <c r="C3068" s="1002" t="s">
        <v>2078</v>
      </c>
      <c r="D3068" s="1002"/>
      <c r="E3068" s="1002"/>
      <c r="F3068" s="1002"/>
      <c r="G3068" s="389" t="s">
        <v>55</v>
      </c>
      <c r="H3068" s="469">
        <v>2</v>
      </c>
      <c r="I3068" s="400"/>
      <c r="J3068" s="400"/>
      <c r="K3068" s="123"/>
      <c r="L3068" s="123"/>
      <c r="M3068" s="123"/>
      <c r="N3068" s="124"/>
      <c r="O3068" s="400"/>
    </row>
    <row r="3069" spans="1:15">
      <c r="A3069" s="342"/>
      <c r="B3069" s="342"/>
      <c r="C3069" s="1002" t="s">
        <v>2084</v>
      </c>
      <c r="D3069" s="1002"/>
      <c r="E3069" s="1002"/>
      <c r="F3069" s="1002"/>
      <c r="G3069" s="389" t="s">
        <v>55</v>
      </c>
      <c r="H3069" s="469">
        <v>2</v>
      </c>
      <c r="I3069" s="400"/>
      <c r="J3069" s="400"/>
      <c r="K3069" s="123"/>
      <c r="L3069" s="123"/>
      <c r="M3069" s="123"/>
      <c r="N3069" s="124"/>
      <c r="O3069" s="400"/>
    </row>
    <row r="3070" spans="1:15">
      <c r="A3070" s="342"/>
      <c r="B3070" s="342"/>
      <c r="C3070" s="1002" t="s">
        <v>2263</v>
      </c>
      <c r="D3070" s="1002"/>
      <c r="E3070" s="1002"/>
      <c r="F3070" s="1002"/>
      <c r="G3070" s="389" t="s">
        <v>55</v>
      </c>
      <c r="H3070" s="469">
        <v>2</v>
      </c>
      <c r="I3070" s="400"/>
      <c r="J3070" s="400"/>
      <c r="K3070" s="123"/>
      <c r="L3070" s="123"/>
      <c r="M3070" s="123"/>
      <c r="N3070" s="124"/>
      <c r="O3070" s="400"/>
    </row>
    <row r="3071" spans="1:15">
      <c r="A3071" s="342"/>
      <c r="B3071" s="342"/>
      <c r="C3071" s="1002" t="s">
        <v>2080</v>
      </c>
      <c r="D3071" s="1002"/>
      <c r="E3071" s="1002"/>
      <c r="F3071" s="1002"/>
      <c r="G3071" s="389" t="s">
        <v>55</v>
      </c>
      <c r="H3071" s="469">
        <v>2</v>
      </c>
      <c r="I3071" s="400"/>
      <c r="J3071" s="400"/>
      <c r="K3071" s="123"/>
      <c r="L3071" s="123"/>
      <c r="M3071" s="123"/>
      <c r="N3071" s="124"/>
      <c r="O3071" s="400"/>
    </row>
    <row r="3072" spans="1:15" ht="23.25" customHeight="1">
      <c r="A3072" s="373" t="s">
        <v>11</v>
      </c>
      <c r="B3072" s="375" t="s">
        <v>13</v>
      </c>
      <c r="C3072" s="1007" t="s">
        <v>1443</v>
      </c>
      <c r="D3072" s="1007"/>
      <c r="E3072" s="1007"/>
      <c r="F3072" s="1007"/>
      <c r="G3072" s="375" t="s">
        <v>15</v>
      </c>
      <c r="H3072" s="375" t="s">
        <v>1444</v>
      </c>
      <c r="I3072" s="375" t="s">
        <v>1445</v>
      </c>
      <c r="J3072" s="375" t="s">
        <v>1446</v>
      </c>
      <c r="K3072" s="375" t="s">
        <v>1447</v>
      </c>
      <c r="L3072" s="375" t="s">
        <v>1448</v>
      </c>
      <c r="M3072" s="375" t="s">
        <v>1457</v>
      </c>
      <c r="N3072" s="375" t="s">
        <v>1450</v>
      </c>
      <c r="O3072" s="375" t="s">
        <v>1451</v>
      </c>
    </row>
    <row r="3073" spans="1:15">
      <c r="A3073" s="376"/>
      <c r="B3073" s="376" t="str">
        <f>ORÇAMENTO!C659</f>
        <v>20.00</v>
      </c>
      <c r="C3073" s="1008" t="str">
        <f>ORÇAMENTO!D659</f>
        <v>SERVIÇOS COMPLEMENTARES</v>
      </c>
      <c r="D3073" s="1008"/>
      <c r="E3073" s="1008"/>
      <c r="F3073" s="1008"/>
      <c r="G3073" s="1039"/>
      <c r="H3073" s="1039"/>
      <c r="I3073" s="1039"/>
      <c r="J3073" s="1039"/>
      <c r="K3073" s="1039"/>
      <c r="L3073" s="1039"/>
      <c r="M3073" s="1039"/>
      <c r="N3073" s="1039"/>
      <c r="O3073" s="1039"/>
    </row>
    <row r="3074" spans="1:15" s="138" customFormat="1">
      <c r="A3074" s="376"/>
      <c r="B3074" s="376" t="str">
        <f>ORÇAMENTO!C660</f>
        <v>20.01</v>
      </c>
      <c r="C3074" s="1008" t="str">
        <f>ORÇAMENTO!D660</f>
        <v>AJARDINAMENTO</v>
      </c>
      <c r="D3074" s="1008"/>
      <c r="E3074" s="1008"/>
      <c r="F3074" s="1008"/>
      <c r="G3074" s="1039"/>
      <c r="H3074" s="1039"/>
      <c r="I3074" s="1039"/>
      <c r="J3074" s="1039"/>
      <c r="K3074" s="1039"/>
      <c r="L3074" s="1039"/>
      <c r="M3074" s="1039"/>
      <c r="N3074" s="1039"/>
      <c r="O3074" s="1039"/>
    </row>
    <row r="3075" spans="1:15" ht="33.75" customHeight="1">
      <c r="A3075" s="377">
        <f>ORÇAMENTO!A661</f>
        <v>10234</v>
      </c>
      <c r="B3075" s="377" t="str">
        <f>ORÇAMENTO!C661</f>
        <v>20.01.01</v>
      </c>
      <c r="C3075" s="1003" t="str">
        <f>ORÇAMENTO!D661</f>
        <v>GRAMA ESMERALDA EM PLACAS, FORNECIMENTO E PLANTIO</v>
      </c>
      <c r="D3075" s="1003"/>
      <c r="E3075" s="1003"/>
      <c r="F3075" s="1003"/>
      <c r="G3075" s="425" t="str">
        <f>ORÇAMENTO!E661</f>
        <v>M²</v>
      </c>
      <c r="H3075" s="377"/>
      <c r="I3075" s="380"/>
      <c r="J3075" s="380"/>
      <c r="K3075" s="115"/>
      <c r="L3075" s="115"/>
      <c r="M3075" s="115"/>
      <c r="N3075" s="116">
        <f>SUM(N3076:N3076)</f>
        <v>479.33</v>
      </c>
      <c r="O3075" s="116"/>
    </row>
    <row r="3076" spans="1:15" s="129" customFormat="1">
      <c r="A3076" s="337"/>
      <c r="B3076" s="337"/>
      <c r="C3076" s="1002" t="s">
        <v>2264</v>
      </c>
      <c r="D3076" s="1002"/>
      <c r="E3076" s="1002"/>
      <c r="F3076" s="1002"/>
      <c r="G3076" s="389" t="s">
        <v>61</v>
      </c>
      <c r="H3076" s="469"/>
      <c r="I3076" s="340"/>
      <c r="J3076" s="340"/>
      <c r="K3076" s="117"/>
      <c r="L3076" s="117"/>
      <c r="M3076" s="117"/>
      <c r="N3076" s="119">
        <v>479.33</v>
      </c>
      <c r="O3076" s="119"/>
    </row>
    <row r="3077" spans="1:15">
      <c r="A3077" s="377">
        <f>ORÇAMENTO!A662</f>
        <v>9031</v>
      </c>
      <c r="B3077" s="377" t="str">
        <f>ORÇAMENTO!C662</f>
        <v>20.01.02</v>
      </c>
      <c r="C3077" s="1003" t="str">
        <f>ORÇAMENTO!D662</f>
        <v>PEDRISCO</v>
      </c>
      <c r="D3077" s="1003"/>
      <c r="E3077" s="1003"/>
      <c r="F3077" s="1003"/>
      <c r="G3077" s="425" t="str">
        <f>ORÇAMENTO!E662</f>
        <v>M³</v>
      </c>
      <c r="H3077" s="377"/>
      <c r="I3077" s="377"/>
      <c r="J3077" s="377"/>
      <c r="K3077" s="147"/>
      <c r="L3077" s="147"/>
      <c r="M3077" s="147"/>
      <c r="N3077" s="148"/>
      <c r="O3077" s="148">
        <f>SUM(O3078:O3078)</f>
        <v>5.1440000000000001</v>
      </c>
    </row>
    <row r="3078" spans="1:15" s="129" customFormat="1">
      <c r="A3078" s="337"/>
      <c r="B3078" s="337"/>
      <c r="C3078" s="1002" t="s">
        <v>2265</v>
      </c>
      <c r="D3078" s="1002"/>
      <c r="E3078" s="1002"/>
      <c r="F3078" s="1002"/>
      <c r="G3078" s="389" t="s">
        <v>109</v>
      </c>
      <c r="H3078" s="469"/>
      <c r="I3078" s="340"/>
      <c r="J3078" s="340"/>
      <c r="K3078" s="117">
        <v>0.08</v>
      </c>
      <c r="L3078" s="117"/>
      <c r="M3078" s="117"/>
      <c r="N3078" s="119">
        <v>64.3</v>
      </c>
      <c r="O3078" s="119">
        <f>K3078*N3078</f>
        <v>5.1440000000000001</v>
      </c>
    </row>
    <row r="3079" spans="1:15" ht="21.6" customHeight="1">
      <c r="A3079" s="377">
        <f>ORÇAMENTO!A663</f>
        <v>7669</v>
      </c>
      <c r="B3079" s="377" t="str">
        <f>ORÇAMENTO!C663</f>
        <v>20.01.03</v>
      </c>
      <c r="C3079" s="1059" t="str">
        <f>ORÇAMENTO!D663</f>
        <v>PLANTA ­ AGAVE DRAGÃO, FORNECIMENTO E PLANTIO</v>
      </c>
      <c r="D3079" s="1060"/>
      <c r="E3079" s="1060"/>
      <c r="F3079" s="1061"/>
      <c r="G3079" s="425" t="str">
        <f>ORÇAMENTO!E663</f>
        <v xml:space="preserve">UN </v>
      </c>
      <c r="H3079" s="383">
        <f>SUM(H3080:H3080)</f>
        <v>18</v>
      </c>
      <c r="I3079" s="380"/>
      <c r="J3079" s="380"/>
      <c r="K3079" s="115"/>
      <c r="L3079" s="115"/>
      <c r="M3079" s="115"/>
      <c r="N3079" s="116"/>
      <c r="O3079" s="116"/>
    </row>
    <row r="3080" spans="1:15" s="122" customFormat="1">
      <c r="A3080" s="404"/>
      <c r="B3080" s="404"/>
      <c r="C3080" s="1001" t="str">
        <f>UPPER("Agave-dragão (agave attenuatta)")</f>
        <v>AGAVE-DRAGÃO (AGAVE ATTENUATTA)</v>
      </c>
      <c r="D3080" s="1035"/>
      <c r="E3080" s="1035"/>
      <c r="F3080" s="1036"/>
      <c r="G3080" s="389" t="s">
        <v>55</v>
      </c>
      <c r="H3080" s="469">
        <v>18</v>
      </c>
      <c r="I3080" s="406"/>
      <c r="J3080" s="406"/>
      <c r="K3080" s="140"/>
      <c r="L3080" s="140"/>
      <c r="M3080" s="140"/>
      <c r="N3080" s="130"/>
      <c r="O3080" s="130"/>
    </row>
    <row r="3081" spans="1:15" ht="22.5" customHeight="1">
      <c r="A3081" s="377">
        <f>ORÇAMENTO!A664</f>
        <v>7669</v>
      </c>
      <c r="B3081" s="377" t="str">
        <f>ORÇAMENTO!C664</f>
        <v>20.01.04</v>
      </c>
      <c r="C3081" s="1003" t="str">
        <f>ORÇAMENTO!D664</f>
        <v>PLANTA ­ AGAVE DRAGÃO, FORNECIMENTO E PLANTIO</v>
      </c>
      <c r="D3081" s="1003"/>
      <c r="E3081" s="1003"/>
      <c r="F3081" s="1003"/>
      <c r="G3081" s="425" t="str">
        <f>ORÇAMENTO!E664</f>
        <v xml:space="preserve">UN </v>
      </c>
      <c r="H3081" s="383">
        <f>SUM(H3082:H3083)</f>
        <v>81</v>
      </c>
      <c r="I3081" s="380"/>
      <c r="J3081" s="380"/>
      <c r="K3081" s="115"/>
      <c r="L3081" s="115"/>
      <c r="M3081" s="115"/>
      <c r="N3081" s="116"/>
      <c r="O3081" s="116"/>
    </row>
    <row r="3082" spans="1:15" s="122" customFormat="1">
      <c r="A3082" s="404"/>
      <c r="B3082" s="404"/>
      <c r="C3082" s="1002" t="s">
        <v>2266</v>
      </c>
      <c r="D3082" s="1002"/>
      <c r="E3082" s="1002"/>
      <c r="F3082" s="1002"/>
      <c r="G3082" s="389" t="s">
        <v>55</v>
      </c>
      <c r="H3082" s="469">
        <v>56</v>
      </c>
      <c r="I3082" s="406"/>
      <c r="J3082" s="406"/>
      <c r="K3082" s="140"/>
      <c r="L3082" s="140"/>
      <c r="M3082" s="140"/>
      <c r="N3082" s="130"/>
      <c r="O3082" s="130"/>
    </row>
    <row r="3083" spans="1:15" s="122" customFormat="1">
      <c r="A3083" s="404"/>
      <c r="B3083" s="404"/>
      <c r="C3083" s="1002" t="s">
        <v>2267</v>
      </c>
      <c r="D3083" s="1002"/>
      <c r="E3083" s="1002"/>
      <c r="F3083" s="1002"/>
      <c r="G3083" s="389" t="s">
        <v>55</v>
      </c>
      <c r="H3083" s="469">
        <v>25</v>
      </c>
      <c r="I3083" s="406"/>
      <c r="J3083" s="406"/>
      <c r="K3083" s="140"/>
      <c r="L3083" s="140"/>
      <c r="M3083" s="140"/>
      <c r="N3083" s="130"/>
      <c r="O3083" s="130"/>
    </row>
    <row r="3084" spans="1:15" ht="25.9" customHeight="1">
      <c r="A3084" s="377">
        <f>ORÇAMENTO!A665</f>
        <v>8851</v>
      </c>
      <c r="B3084" s="377" t="str">
        <f>ORÇAMENTO!C665</f>
        <v>20.01.05</v>
      </c>
      <c r="C3084" s="1003" t="str">
        <f>ORÇAMENTO!D665</f>
        <v xml:space="preserve">PLANTA - PATA DE VACA (BAUHINIA FORTICATA), H=2,00M, FORNECIMENTO E PLANTIO </v>
      </c>
      <c r="D3084" s="1003"/>
      <c r="E3084" s="1003"/>
      <c r="F3084" s="1003"/>
      <c r="G3084" s="425" t="str">
        <f>ORÇAMENTO!E665</f>
        <v xml:space="preserve">UN </v>
      </c>
      <c r="H3084" s="383">
        <f>H3085</f>
        <v>7</v>
      </c>
      <c r="I3084" s="380"/>
      <c r="J3084" s="380"/>
      <c r="K3084" s="115"/>
      <c r="L3084" s="115"/>
      <c r="M3084" s="115"/>
      <c r="N3084" s="116"/>
      <c r="O3084" s="116"/>
    </row>
    <row r="3085" spans="1:15" s="122" customFormat="1" ht="15" customHeight="1">
      <c r="A3085" s="404"/>
      <c r="B3085" s="404"/>
      <c r="C3085" s="1002" t="str">
        <f>UPPER("Pata de vaca")</f>
        <v>PATA DE VACA</v>
      </c>
      <c r="D3085" s="1002"/>
      <c r="E3085" s="1002"/>
      <c r="F3085" s="1002"/>
      <c r="G3085" s="389" t="s">
        <v>55</v>
      </c>
      <c r="H3085" s="469">
        <v>7</v>
      </c>
      <c r="I3085" s="406"/>
      <c r="J3085" s="406"/>
      <c r="K3085" s="140"/>
      <c r="L3085" s="140"/>
      <c r="M3085" s="140"/>
      <c r="N3085" s="130"/>
      <c r="O3085" s="130"/>
    </row>
    <row r="3086" spans="1:15" ht="22.5" customHeight="1">
      <c r="A3086" s="377">
        <f>ORÇAMENTO!A666</f>
        <v>8761</v>
      </c>
      <c r="B3086" s="377" t="str">
        <f>ORÇAMENTO!C666</f>
        <v>20.01.06</v>
      </c>
      <c r="C3086" s="1003" t="str">
        <f>ORÇAMENTO!D666</f>
        <v>PLANTA - SAMAMBAIA C/1,00M, FORNECIMENTO E PLANTIO</v>
      </c>
      <c r="D3086" s="1003"/>
      <c r="E3086" s="1003"/>
      <c r="F3086" s="1003"/>
      <c r="G3086" s="425" t="s">
        <v>55</v>
      </c>
      <c r="H3086" s="383">
        <f>SUM(H3087:H3088)</f>
        <v>50</v>
      </c>
      <c r="I3086" s="377"/>
      <c r="J3086" s="377"/>
      <c r="K3086" s="147"/>
      <c r="L3086" s="147"/>
      <c r="M3086" s="147"/>
      <c r="N3086" s="148"/>
      <c r="O3086" s="148"/>
    </row>
    <row r="3087" spans="1:15" s="122" customFormat="1">
      <c r="A3087" s="337"/>
      <c r="B3087" s="337"/>
      <c r="C3087" s="1002" t="s">
        <v>2268</v>
      </c>
      <c r="D3087" s="1002"/>
      <c r="E3087" s="1002"/>
      <c r="F3087" s="1002"/>
      <c r="G3087" s="389" t="s">
        <v>55</v>
      </c>
      <c r="H3087" s="469">
        <v>8</v>
      </c>
      <c r="I3087" s="340"/>
      <c r="J3087" s="340"/>
      <c r="K3087" s="117"/>
      <c r="L3087" s="117"/>
      <c r="M3087" s="117"/>
      <c r="N3087" s="119"/>
      <c r="O3087" s="119"/>
    </row>
    <row r="3088" spans="1:15" s="122" customFormat="1">
      <c r="A3088" s="337"/>
      <c r="B3088" s="337"/>
      <c r="C3088" s="1002" t="s">
        <v>2269</v>
      </c>
      <c r="D3088" s="1002"/>
      <c r="E3088" s="1002"/>
      <c r="F3088" s="1002"/>
      <c r="G3088" s="389" t="s">
        <v>55</v>
      </c>
      <c r="H3088" s="469">
        <v>42</v>
      </c>
      <c r="I3088" s="340"/>
      <c r="J3088" s="340"/>
      <c r="K3088" s="117"/>
      <c r="L3088" s="117"/>
      <c r="M3088" s="117"/>
      <c r="N3088" s="119"/>
      <c r="O3088" s="119"/>
    </row>
    <row r="3089" spans="1:15" ht="29.25" customHeight="1">
      <c r="A3089" s="377">
        <f>ORÇAMENTO!A667</f>
        <v>8814</v>
      </c>
      <c r="B3089" s="377" t="str">
        <f>ORÇAMENTO!C667</f>
        <v>20.01.07</v>
      </c>
      <c r="C3089" s="1003" t="str">
        <f>ORÇAMENTO!D667</f>
        <v xml:space="preserve">FORNECIMENTO E PLANTIO DE PALMEIRA RABO DE RAPOSA, MEDIA </v>
      </c>
      <c r="D3089" s="1003"/>
      <c r="E3089" s="1003"/>
      <c r="F3089" s="1003"/>
      <c r="G3089" s="425" t="s">
        <v>55</v>
      </c>
      <c r="H3089" s="383">
        <f>H3090</f>
        <v>6</v>
      </c>
      <c r="I3089" s="380"/>
      <c r="J3089" s="380"/>
      <c r="K3089" s="115"/>
      <c r="L3089" s="115"/>
      <c r="M3089" s="115"/>
      <c r="N3089" s="116"/>
      <c r="O3089" s="116"/>
    </row>
    <row r="3090" spans="1:15" s="122" customFormat="1">
      <c r="A3090" s="337"/>
      <c r="B3090" s="337"/>
      <c r="C3090" s="1002" t="str">
        <f>UPPER("Palmeira rabo de raposa")</f>
        <v>PALMEIRA RABO DE RAPOSA</v>
      </c>
      <c r="D3090" s="1002"/>
      <c r="E3090" s="1002"/>
      <c r="F3090" s="1002"/>
      <c r="G3090" s="389" t="s">
        <v>55</v>
      </c>
      <c r="H3090" s="469">
        <v>6</v>
      </c>
      <c r="I3090" s="340"/>
      <c r="J3090" s="340"/>
      <c r="K3090" s="117"/>
      <c r="L3090" s="117"/>
      <c r="M3090" s="117"/>
      <c r="N3090" s="119"/>
      <c r="O3090" s="119"/>
    </row>
    <row r="3091" spans="1:15" ht="29.25" customHeight="1">
      <c r="A3091" s="377">
        <f>ORÇAMENTO!A668</f>
        <v>7669</v>
      </c>
      <c r="B3091" s="377" t="str">
        <f>ORÇAMENTO!C668</f>
        <v>20.01.08</v>
      </c>
      <c r="C3091" s="1003" t="str">
        <f>ORÇAMENTO!D668</f>
        <v xml:space="preserve">PLANTA - ZAMIOCULCA, FORNECIMENTO E PLANTIO </v>
      </c>
      <c r="D3091" s="1003"/>
      <c r="E3091" s="1003"/>
      <c r="F3091" s="1003"/>
      <c r="G3091" s="425" t="s">
        <v>55</v>
      </c>
      <c r="H3091" s="383">
        <f>H3092</f>
        <v>20</v>
      </c>
      <c r="I3091" s="380"/>
      <c r="J3091" s="380"/>
      <c r="K3091" s="115"/>
      <c r="L3091" s="115"/>
      <c r="M3091" s="115"/>
      <c r="N3091" s="116"/>
      <c r="O3091" s="116"/>
    </row>
    <row r="3092" spans="1:15" s="122" customFormat="1">
      <c r="A3092" s="337"/>
      <c r="B3092" s="337"/>
      <c r="C3092" s="1002" t="s">
        <v>2270</v>
      </c>
      <c r="D3092" s="1002"/>
      <c r="E3092" s="1002"/>
      <c r="F3092" s="1002"/>
      <c r="G3092" s="389" t="s">
        <v>55</v>
      </c>
      <c r="H3092" s="469">
        <v>20</v>
      </c>
      <c r="I3092" s="340"/>
      <c r="J3092" s="340"/>
      <c r="K3092" s="117"/>
      <c r="L3092" s="117"/>
      <c r="M3092" s="117"/>
      <c r="N3092" s="119"/>
      <c r="O3092" s="119"/>
    </row>
    <row r="3093" spans="1:15" ht="30.6" customHeight="1">
      <c r="A3093" s="377">
        <f>ORÇAMENTO!A669</f>
        <v>2394</v>
      </c>
      <c r="B3093" s="377" t="str">
        <f>ORÇAMENTO!C669</f>
        <v>20.01.09</v>
      </c>
      <c r="C3093" s="1003" t="str">
        <f>ORÇAMENTO!D669</f>
        <v xml:space="preserve">FORNECIMENTO E ESPALHAMENTO DE TERRA VEGETAL PREPARADA </v>
      </c>
      <c r="D3093" s="1003"/>
      <c r="E3093" s="1003"/>
      <c r="F3093" s="1003"/>
      <c r="G3093" s="425" t="s">
        <v>109</v>
      </c>
      <c r="H3093" s="383"/>
      <c r="I3093" s="380"/>
      <c r="J3093" s="380"/>
      <c r="K3093" s="115"/>
      <c r="L3093" s="115"/>
      <c r="M3093" s="115"/>
      <c r="N3093" s="116"/>
      <c r="O3093" s="116">
        <f>SUM(O3094)</f>
        <v>90</v>
      </c>
    </row>
    <row r="3094" spans="1:15" s="122" customFormat="1">
      <c r="A3094" s="337"/>
      <c r="B3094" s="337"/>
      <c r="C3094" s="1002" t="str">
        <f>UPPER("Terra preta")</f>
        <v>TERRA PRETA</v>
      </c>
      <c r="D3094" s="1002"/>
      <c r="E3094" s="1002"/>
      <c r="F3094" s="1002"/>
      <c r="G3094" s="389" t="s">
        <v>109</v>
      </c>
      <c r="H3094" s="469"/>
      <c r="I3094" s="340"/>
      <c r="J3094" s="340"/>
      <c r="K3094" s="117"/>
      <c r="L3094" s="117"/>
      <c r="M3094" s="117"/>
      <c r="N3094" s="119"/>
      <c r="O3094" s="119">
        <v>90</v>
      </c>
    </row>
    <row r="3095" spans="1:15" ht="30.6" customHeight="1">
      <c r="A3095" s="377">
        <f>ORÇAMENTO!A670</f>
        <v>7657</v>
      </c>
      <c r="B3095" s="377" t="str">
        <f>ORÇAMENTO!C670</f>
        <v>20.01.10</v>
      </c>
      <c r="C3095" s="1003" t="str">
        <f>ORÇAMENTO!D670</f>
        <v>LIMITADOR DE GRAMA COM BORDA FINA, L=12,5CM</v>
      </c>
      <c r="D3095" s="1003"/>
      <c r="E3095" s="1003"/>
      <c r="F3095" s="1003"/>
      <c r="G3095" s="425" t="s">
        <v>246</v>
      </c>
      <c r="H3095" s="383"/>
      <c r="I3095" s="380"/>
      <c r="J3095" s="380"/>
      <c r="K3095" s="115"/>
      <c r="L3095" s="116">
        <f>SUM(L3096)</f>
        <v>27.37</v>
      </c>
      <c r="M3095" s="115"/>
      <c r="N3095" s="116"/>
      <c r="O3095" s="116"/>
    </row>
    <row r="3096" spans="1:15" s="122" customFormat="1">
      <c r="A3096" s="337"/>
      <c r="B3096" s="337"/>
      <c r="C3096" s="1002" t="str">
        <f>UPPER("Terra preta")</f>
        <v>TERRA PRETA</v>
      </c>
      <c r="D3096" s="1002"/>
      <c r="E3096" s="1002"/>
      <c r="F3096" s="1002"/>
      <c r="G3096" s="389" t="s">
        <v>61</v>
      </c>
      <c r="H3096" s="469"/>
      <c r="I3096" s="340"/>
      <c r="J3096" s="340"/>
      <c r="K3096" s="117"/>
      <c r="L3096" s="117">
        <v>27.37</v>
      </c>
      <c r="M3096" s="117"/>
      <c r="N3096" s="119"/>
      <c r="O3096" s="119"/>
    </row>
    <row r="3097" spans="1:15" ht="12.75" customHeight="1">
      <c r="A3097" s="373" t="s">
        <v>11</v>
      </c>
      <c r="B3097" s="375" t="s">
        <v>13</v>
      </c>
      <c r="C3097" s="1007" t="s">
        <v>1443</v>
      </c>
      <c r="D3097" s="1007"/>
      <c r="E3097" s="1007"/>
      <c r="F3097" s="1007"/>
      <c r="G3097" s="375" t="s">
        <v>15</v>
      </c>
      <c r="H3097" s="375" t="s">
        <v>1444</v>
      </c>
      <c r="I3097" s="375" t="s">
        <v>1445</v>
      </c>
      <c r="J3097" s="375" t="s">
        <v>1446</v>
      </c>
      <c r="K3097" s="375" t="s">
        <v>1447</v>
      </c>
      <c r="L3097" s="375" t="s">
        <v>1448</v>
      </c>
      <c r="M3097" s="375" t="s">
        <v>1457</v>
      </c>
      <c r="N3097" s="375" t="s">
        <v>1450</v>
      </c>
      <c r="O3097" s="375" t="s">
        <v>1451</v>
      </c>
    </row>
    <row r="3098" spans="1:15">
      <c r="A3098" s="701"/>
      <c r="B3098" s="376" t="str">
        <f>ORÇAMENTO!C671</f>
        <v>20.02</v>
      </c>
      <c r="C3098" s="1008" t="str">
        <f>ORÇAMENTO!D671</f>
        <v>COMUNICAÇÃO VISUAL</v>
      </c>
      <c r="D3098" s="1008"/>
      <c r="E3098" s="1008"/>
      <c r="F3098" s="1008"/>
      <c r="G3098" s="702"/>
      <c r="H3098" s="702"/>
      <c r="I3098" s="702"/>
      <c r="J3098" s="702"/>
      <c r="K3098" s="702"/>
      <c r="L3098" s="702"/>
      <c r="M3098" s="702"/>
      <c r="N3098" s="702"/>
      <c r="O3098" s="703"/>
    </row>
    <row r="3099" spans="1:15">
      <c r="A3099" s="377"/>
      <c r="B3099" s="377" t="str">
        <f>ORÇAMENTO!C672</f>
        <v>20.02.01</v>
      </c>
      <c r="C3099" s="1003" t="str">
        <f>ORÇAMENTO!D672</f>
        <v>LOGOMARCA VERTICAL 150CM (FACHADA)</v>
      </c>
      <c r="D3099" s="1003"/>
      <c r="E3099" s="1003"/>
      <c r="F3099" s="1003"/>
      <c r="G3099" s="425" t="s">
        <v>55</v>
      </c>
      <c r="H3099" s="383">
        <f>H3100</f>
        <v>1</v>
      </c>
      <c r="I3099" s="380"/>
      <c r="J3099" s="380"/>
      <c r="K3099" s="115"/>
      <c r="L3099" s="115"/>
      <c r="M3099" s="115"/>
      <c r="N3099" s="116"/>
      <c r="O3099" s="116"/>
    </row>
    <row r="3100" spans="1:15">
      <c r="A3100" s="342"/>
      <c r="B3100" s="391"/>
      <c r="C3100" s="1027" t="s">
        <v>2271</v>
      </c>
      <c r="D3100" s="1027"/>
      <c r="E3100" s="1027"/>
      <c r="F3100" s="1027"/>
      <c r="G3100" s="404" t="s">
        <v>96</v>
      </c>
      <c r="H3100" s="400">
        <v>1</v>
      </c>
      <c r="I3100" s="149"/>
      <c r="J3100" s="149"/>
      <c r="K3100" s="414"/>
      <c r="L3100" s="414"/>
      <c r="M3100" s="480"/>
      <c r="N3100" s="381"/>
      <c r="O3100" s="381"/>
    </row>
    <row r="3101" spans="1:15">
      <c r="A3101" s="377"/>
      <c r="B3101" s="377" t="str">
        <f>ORÇAMENTO!C673</f>
        <v>20.02.02</v>
      </c>
      <c r="C3101" s="1003" t="str">
        <f>ORÇAMENTO!D673</f>
        <v>LOGOMARCA HORIZONTAL 150CM (PLENO)</v>
      </c>
      <c r="D3101" s="1003"/>
      <c r="E3101" s="1003"/>
      <c r="F3101" s="1003"/>
      <c r="G3101" s="425" t="s">
        <v>55</v>
      </c>
      <c r="H3101" s="383">
        <f>H3102</f>
        <v>1</v>
      </c>
      <c r="I3101" s="380"/>
      <c r="J3101" s="380"/>
      <c r="K3101" s="115"/>
      <c r="L3101" s="115"/>
      <c r="M3101" s="115"/>
      <c r="N3101" s="116"/>
      <c r="O3101" s="116"/>
    </row>
    <row r="3102" spans="1:15">
      <c r="A3102" s="342"/>
      <c r="B3102" s="391"/>
      <c r="C3102" s="1027" t="s">
        <v>2272</v>
      </c>
      <c r="D3102" s="1027"/>
      <c r="E3102" s="1027"/>
      <c r="F3102" s="1027"/>
      <c r="G3102" s="337" t="s">
        <v>96</v>
      </c>
      <c r="H3102" s="400">
        <v>1</v>
      </c>
      <c r="I3102" s="149"/>
      <c r="J3102" s="149"/>
      <c r="K3102" s="414"/>
      <c r="L3102" s="414"/>
      <c r="M3102" s="480"/>
      <c r="N3102" s="381"/>
      <c r="O3102" s="381"/>
    </row>
    <row r="3103" spans="1:15">
      <c r="A3103" s="377"/>
      <c r="B3103" s="377" t="str">
        <f>ORÇAMENTO!C674</f>
        <v>20.02.03</v>
      </c>
      <c r="C3103" s="1003" t="str">
        <f>ORÇAMENTO!D674</f>
        <v>LETREIRO COM ALTURA 20CM (FACHADA)</v>
      </c>
      <c r="D3103" s="1003"/>
      <c r="E3103" s="1003"/>
      <c r="F3103" s="1003"/>
      <c r="G3103" s="425" t="s">
        <v>246</v>
      </c>
      <c r="H3103" s="383">
        <f>H3104</f>
        <v>5</v>
      </c>
      <c r="I3103" s="380"/>
      <c r="J3103" s="380"/>
      <c r="K3103" s="115"/>
      <c r="L3103" s="115"/>
      <c r="M3103" s="115"/>
      <c r="N3103" s="116"/>
      <c r="O3103" s="116"/>
    </row>
    <row r="3104" spans="1:15">
      <c r="A3104" s="342"/>
      <c r="B3104" s="391"/>
      <c r="C3104" s="1027" t="s">
        <v>2271</v>
      </c>
      <c r="D3104" s="1027"/>
      <c r="E3104" s="1027"/>
      <c r="F3104" s="1027"/>
      <c r="G3104" s="337" t="s">
        <v>246</v>
      </c>
      <c r="H3104" s="400">
        <v>5</v>
      </c>
      <c r="I3104" s="149"/>
      <c r="J3104" s="149"/>
      <c r="K3104" s="414"/>
      <c r="L3104" s="414"/>
      <c r="M3104" s="480"/>
      <c r="N3104" s="381"/>
      <c r="O3104" s="381"/>
    </row>
    <row r="3105" spans="1:15">
      <c r="A3105" s="377"/>
      <c r="B3105" s="377" t="str">
        <f>ORÇAMENTO!C675</f>
        <v>20.02.04</v>
      </c>
      <c r="C3105" s="1003" t="str">
        <f>ORÇAMENTO!D675</f>
        <v>LETREIRO COM ALTURA 15CM (PLENÁRIO)</v>
      </c>
      <c r="D3105" s="1003"/>
      <c r="E3105" s="1003"/>
      <c r="F3105" s="1003"/>
      <c r="G3105" s="425" t="s">
        <v>246</v>
      </c>
      <c r="H3105" s="383">
        <f>H3106</f>
        <v>2</v>
      </c>
      <c r="I3105" s="380"/>
      <c r="J3105" s="380"/>
      <c r="K3105" s="115"/>
      <c r="L3105" s="115"/>
      <c r="M3105" s="115"/>
      <c r="N3105" s="116"/>
      <c r="O3105" s="116"/>
    </row>
    <row r="3106" spans="1:15">
      <c r="A3106" s="342"/>
      <c r="B3106" s="391"/>
      <c r="C3106" s="1027" t="s">
        <v>2272</v>
      </c>
      <c r="D3106" s="1027"/>
      <c r="E3106" s="1027"/>
      <c r="F3106" s="1027"/>
      <c r="G3106" s="337" t="s">
        <v>246</v>
      </c>
      <c r="H3106" s="400">
        <v>2</v>
      </c>
      <c r="I3106" s="149"/>
      <c r="J3106" s="149"/>
      <c r="K3106" s="414"/>
      <c r="L3106" s="414"/>
      <c r="M3106" s="480"/>
      <c r="N3106" s="381"/>
      <c r="O3106" s="381"/>
    </row>
    <row r="3107" spans="1:15">
      <c r="A3107" s="377"/>
      <c r="B3107" s="377" t="str">
        <f>ORÇAMENTO!C676</f>
        <v>20.02.05</v>
      </c>
      <c r="C3107" s="1003" t="str">
        <f>ORÇAMENTO!D676</f>
        <v>ADESIVAÇÃO EM VIDROS FAIXA CINZA 20CM</v>
      </c>
      <c r="D3107" s="1003"/>
      <c r="E3107" s="1003"/>
      <c r="F3107" s="1003"/>
      <c r="G3107" s="425" t="s">
        <v>61</v>
      </c>
      <c r="H3107" s="383"/>
      <c r="I3107" s="380"/>
      <c r="J3107" s="380"/>
      <c r="K3107" s="115"/>
      <c r="L3107" s="115"/>
      <c r="M3107" s="115"/>
      <c r="N3107" s="116">
        <f>SUM(N3108:N3111)</f>
        <v>4.6100000000000003</v>
      </c>
      <c r="O3107" s="116"/>
    </row>
    <row r="3108" spans="1:15">
      <c r="A3108" s="342"/>
      <c r="B3108" s="391"/>
      <c r="C3108" s="1027" t="s">
        <v>2273</v>
      </c>
      <c r="D3108" s="1027"/>
      <c r="E3108" s="1027"/>
      <c r="F3108" s="1027"/>
      <c r="G3108" s="392" t="s">
        <v>61</v>
      </c>
      <c r="H3108" s="400">
        <v>2</v>
      </c>
      <c r="I3108" s="149"/>
      <c r="J3108" s="149">
        <v>3.6</v>
      </c>
      <c r="K3108" s="414">
        <v>0.2</v>
      </c>
      <c r="L3108" s="414"/>
      <c r="M3108" s="480"/>
      <c r="N3108" s="400">
        <f>H3108*J3108*K3108</f>
        <v>1.4400000000000002</v>
      </c>
      <c r="O3108" s="381"/>
    </row>
    <row r="3109" spans="1:15">
      <c r="A3109" s="342"/>
      <c r="B3109" s="391"/>
      <c r="C3109" s="1027" t="s">
        <v>2273</v>
      </c>
      <c r="D3109" s="1027"/>
      <c r="E3109" s="1027"/>
      <c r="F3109" s="1027"/>
      <c r="G3109" s="392" t="s">
        <v>61</v>
      </c>
      <c r="H3109" s="400">
        <v>2</v>
      </c>
      <c r="I3109" s="149"/>
      <c r="J3109" s="149">
        <v>2.5</v>
      </c>
      <c r="K3109" s="414">
        <v>0.2</v>
      </c>
      <c r="L3109" s="414"/>
      <c r="M3109" s="480"/>
      <c r="N3109" s="400">
        <f>H3109*J3109*K3109</f>
        <v>1</v>
      </c>
      <c r="O3109" s="381"/>
    </row>
    <row r="3110" spans="1:15">
      <c r="A3110" s="342"/>
      <c r="B3110" s="391"/>
      <c r="C3110" s="1027" t="s">
        <v>2274</v>
      </c>
      <c r="D3110" s="1027"/>
      <c r="E3110" s="1027"/>
      <c r="F3110" s="1027"/>
      <c r="G3110" s="392" t="s">
        <v>61</v>
      </c>
      <c r="H3110" s="400">
        <v>1</v>
      </c>
      <c r="I3110" s="149"/>
      <c r="J3110" s="149">
        <v>0.85</v>
      </c>
      <c r="K3110" s="123">
        <v>0.2</v>
      </c>
      <c r="L3110" s="123"/>
      <c r="M3110" s="331"/>
      <c r="N3110" s="400">
        <f>H3110*J3110*K3110</f>
        <v>0.17</v>
      </c>
      <c r="O3110" s="124"/>
    </row>
    <row r="3111" spans="1:15">
      <c r="A3111" s="342"/>
      <c r="B3111" s="391"/>
      <c r="C3111" s="1027" t="s">
        <v>2275</v>
      </c>
      <c r="D3111" s="1027"/>
      <c r="E3111" s="1027"/>
      <c r="F3111" s="1027"/>
      <c r="G3111" s="392" t="s">
        <v>61</v>
      </c>
      <c r="H3111" s="400">
        <v>1</v>
      </c>
      <c r="I3111" s="149"/>
      <c r="J3111" s="149">
        <v>1.6</v>
      </c>
      <c r="K3111" s="123">
        <v>0.2</v>
      </c>
      <c r="L3111" s="123"/>
      <c r="M3111" s="331"/>
      <c r="N3111" s="400">
        <f>2*1</f>
        <v>2</v>
      </c>
      <c r="O3111" s="124"/>
    </row>
    <row r="3112" spans="1:15">
      <c r="A3112" s="377"/>
      <c r="B3112" s="377" t="str">
        <f>ORÇAMENTO!C677</f>
        <v>20.02.06</v>
      </c>
      <c r="C3112" s="1003" t="str">
        <f>ORÇAMENTO!D677</f>
        <v>MURAL INFORMATIVO EM CHAPA DE ACRILICO 6MM</v>
      </c>
      <c r="D3112" s="1003"/>
      <c r="E3112" s="1003"/>
      <c r="F3112" s="1003"/>
      <c r="G3112" s="425" t="s">
        <v>55</v>
      </c>
      <c r="H3112" s="383">
        <f>SUM(H3113:H3114)</f>
        <v>1</v>
      </c>
      <c r="I3112" s="380"/>
      <c r="J3112" s="380"/>
      <c r="K3112" s="115"/>
      <c r="L3112" s="115"/>
      <c r="M3112" s="115"/>
      <c r="N3112" s="116"/>
      <c r="O3112" s="116"/>
    </row>
    <row r="3113" spans="1:15">
      <c r="A3113" s="342"/>
      <c r="B3113" s="391"/>
      <c r="C3113" s="1027" t="s">
        <v>2276</v>
      </c>
      <c r="D3113" s="1027"/>
      <c r="E3113" s="1027"/>
      <c r="F3113" s="1027"/>
      <c r="G3113" s="337" t="s">
        <v>96</v>
      </c>
      <c r="H3113" s="400">
        <v>1</v>
      </c>
      <c r="I3113" s="149"/>
      <c r="J3113" s="149"/>
      <c r="K3113" s="414"/>
      <c r="L3113" s="414"/>
      <c r="M3113" s="480"/>
      <c r="N3113" s="381"/>
      <c r="O3113" s="381"/>
    </row>
    <row r="3114" spans="1:15">
      <c r="A3114" s="342"/>
      <c r="B3114" s="391"/>
      <c r="C3114" s="1027"/>
      <c r="D3114" s="1027"/>
      <c r="E3114" s="1027"/>
      <c r="F3114" s="1027"/>
      <c r="G3114" s="337" t="s">
        <v>96</v>
      </c>
      <c r="H3114" s="400"/>
      <c r="I3114" s="149"/>
      <c r="J3114" s="149"/>
      <c r="K3114" s="123"/>
      <c r="L3114" s="123"/>
      <c r="M3114" s="331"/>
      <c r="N3114" s="124"/>
      <c r="O3114" s="124"/>
    </row>
    <row r="3115" spans="1:15">
      <c r="A3115" s="377"/>
      <c r="B3115" s="377" t="str">
        <f>ORÇAMENTO!C678</f>
        <v>20.02.07</v>
      </c>
      <c r="C3115" s="1003" t="str">
        <f>ORÇAMENTO!D678</f>
        <v>PLACA DE INAUGURAÇÃO E HOMENAGIADOS</v>
      </c>
      <c r="D3115" s="1003"/>
      <c r="E3115" s="1003"/>
      <c r="F3115" s="1003"/>
      <c r="G3115" s="425" t="s">
        <v>55</v>
      </c>
      <c r="H3115" s="383">
        <f>H3116</f>
        <v>1</v>
      </c>
      <c r="I3115" s="380"/>
      <c r="J3115" s="380"/>
      <c r="K3115" s="115"/>
      <c r="L3115" s="115"/>
      <c r="M3115" s="115"/>
      <c r="N3115" s="116"/>
      <c r="O3115" s="116"/>
    </row>
    <row r="3116" spans="1:15">
      <c r="A3116" s="342"/>
      <c r="B3116" s="391"/>
      <c r="C3116" s="1027" t="s">
        <v>2276</v>
      </c>
      <c r="D3116" s="1027"/>
      <c r="E3116" s="1027"/>
      <c r="F3116" s="1027"/>
      <c r="G3116" s="337" t="s">
        <v>96</v>
      </c>
      <c r="H3116" s="400">
        <v>1</v>
      </c>
      <c r="I3116" s="149"/>
      <c r="J3116" s="149"/>
      <c r="K3116" s="414"/>
      <c r="L3116" s="414"/>
      <c r="M3116" s="480"/>
      <c r="N3116" s="381"/>
      <c r="O3116" s="381"/>
    </row>
    <row r="3117" spans="1:15">
      <c r="A3117" s="377"/>
      <c r="B3117" s="377" t="str">
        <f>ORÇAMENTO!C679</f>
        <v>20.02.08</v>
      </c>
      <c r="C3117" s="1003" t="str">
        <f>ORÇAMENTO!D679</f>
        <v>PLACA DE IDENTIFICAÇÃO DAS PORTAS</v>
      </c>
      <c r="D3117" s="1003"/>
      <c r="E3117" s="1003"/>
      <c r="F3117" s="1003"/>
      <c r="G3117" s="425" t="s">
        <v>55</v>
      </c>
      <c r="H3117" s="383">
        <f>SUM(H3118:H3121)</f>
        <v>25</v>
      </c>
      <c r="I3117" s="380"/>
      <c r="J3117" s="380"/>
      <c r="K3117" s="115"/>
      <c r="L3117" s="115"/>
      <c r="M3117" s="115"/>
      <c r="N3117" s="116"/>
      <c r="O3117" s="116"/>
    </row>
    <row r="3118" spans="1:15">
      <c r="A3118" s="342"/>
      <c r="B3118" s="391"/>
      <c r="C3118" s="1027" t="s">
        <v>2277</v>
      </c>
      <c r="D3118" s="1027"/>
      <c r="E3118" s="1027"/>
      <c r="F3118" s="1027"/>
      <c r="G3118" s="337" t="s">
        <v>96</v>
      </c>
      <c r="H3118" s="400">
        <v>7</v>
      </c>
      <c r="I3118" s="149"/>
      <c r="J3118" s="149"/>
      <c r="K3118" s="414"/>
      <c r="L3118" s="414"/>
      <c r="M3118" s="480"/>
      <c r="N3118" s="381"/>
      <c r="O3118" s="381"/>
    </row>
    <row r="3119" spans="1:15">
      <c r="A3119" s="342"/>
      <c r="B3119" s="391"/>
      <c r="C3119" s="1027" t="s">
        <v>2278</v>
      </c>
      <c r="D3119" s="1027"/>
      <c r="E3119" s="1027"/>
      <c r="F3119" s="1027"/>
      <c r="G3119" s="337" t="s">
        <v>96</v>
      </c>
      <c r="H3119" s="400">
        <v>5</v>
      </c>
      <c r="I3119" s="149"/>
      <c r="J3119" s="149"/>
      <c r="K3119" s="123"/>
      <c r="L3119" s="123"/>
      <c r="M3119" s="331"/>
      <c r="N3119" s="124"/>
      <c r="O3119" s="124"/>
    </row>
    <row r="3120" spans="1:15">
      <c r="A3120" s="342"/>
      <c r="B3120" s="391"/>
      <c r="C3120" s="1027" t="s">
        <v>2279</v>
      </c>
      <c r="D3120" s="1027"/>
      <c r="E3120" s="1027"/>
      <c r="F3120" s="1027"/>
      <c r="G3120" s="337" t="s">
        <v>96</v>
      </c>
      <c r="H3120" s="400">
        <v>8</v>
      </c>
      <c r="I3120" s="149"/>
      <c r="J3120" s="149"/>
      <c r="K3120" s="123"/>
      <c r="L3120" s="123"/>
      <c r="M3120" s="331"/>
      <c r="N3120" s="124"/>
      <c r="O3120" s="124"/>
    </row>
    <row r="3121" spans="1:15">
      <c r="A3121" s="342"/>
      <c r="B3121" s="391"/>
      <c r="C3121" s="1027" t="s">
        <v>2280</v>
      </c>
      <c r="D3121" s="1027"/>
      <c r="E3121" s="1027"/>
      <c r="F3121" s="1027"/>
      <c r="G3121" s="337" t="s">
        <v>96</v>
      </c>
      <c r="H3121" s="400">
        <v>5</v>
      </c>
      <c r="I3121" s="149"/>
      <c r="J3121" s="149"/>
      <c r="K3121" s="123"/>
      <c r="L3121" s="123"/>
      <c r="M3121" s="331"/>
      <c r="N3121" s="124"/>
      <c r="O3121" s="124"/>
    </row>
    <row r="3122" spans="1:15">
      <c r="A3122" s="342"/>
      <c r="B3122" s="391"/>
      <c r="C3122" s="454"/>
      <c r="D3122" s="150"/>
      <c r="E3122" s="150"/>
      <c r="F3122" s="151"/>
      <c r="G3122" s="337"/>
      <c r="H3122" s="400"/>
      <c r="I3122" s="149"/>
      <c r="J3122" s="149"/>
      <c r="K3122" s="123"/>
      <c r="L3122" s="123"/>
      <c r="M3122" s="331"/>
      <c r="N3122" s="124"/>
      <c r="O3122" s="124"/>
    </row>
    <row r="3123" spans="1:15">
      <c r="A3123" s="377"/>
      <c r="B3123" s="377" t="str">
        <f>ORÇAMENTO!C680</f>
        <v>20.02.09</v>
      </c>
      <c r="C3123" s="1003" t="str">
        <f>ORÇAMENTO!D680</f>
        <v>PLACA DE COLUNA PARA ESTACIONAMENTO</v>
      </c>
      <c r="D3123" s="1003"/>
      <c r="E3123" s="1003"/>
      <c r="F3123" s="1003"/>
      <c r="G3123" s="425" t="s">
        <v>55</v>
      </c>
      <c r="H3123" s="383">
        <f>SUM(H3124:H3127)</f>
        <v>10</v>
      </c>
      <c r="I3123" s="380"/>
      <c r="J3123" s="380"/>
      <c r="K3123" s="115"/>
      <c r="L3123" s="115"/>
      <c r="M3123" s="115"/>
      <c r="N3123" s="116"/>
      <c r="O3123" s="116"/>
    </row>
    <row r="3124" spans="1:15">
      <c r="A3124" s="342"/>
      <c r="B3124" s="391"/>
      <c r="C3124" s="1027" t="s">
        <v>2281</v>
      </c>
      <c r="D3124" s="1027"/>
      <c r="E3124" s="1027"/>
      <c r="F3124" s="1027"/>
      <c r="G3124" s="337" t="s">
        <v>96</v>
      </c>
      <c r="H3124" s="400">
        <v>4</v>
      </c>
      <c r="I3124" s="149"/>
      <c r="J3124" s="149"/>
      <c r="K3124" s="414"/>
      <c r="L3124" s="414"/>
      <c r="M3124" s="480"/>
      <c r="N3124" s="381"/>
      <c r="O3124" s="381"/>
    </row>
    <row r="3125" spans="1:15">
      <c r="A3125" s="342"/>
      <c r="B3125" s="391"/>
      <c r="C3125" s="1027" t="s">
        <v>2282</v>
      </c>
      <c r="D3125" s="1027"/>
      <c r="E3125" s="1027"/>
      <c r="F3125" s="1027"/>
      <c r="G3125" s="337" t="s">
        <v>96</v>
      </c>
      <c r="H3125" s="400">
        <v>2</v>
      </c>
      <c r="I3125" s="149"/>
      <c r="J3125" s="149"/>
      <c r="K3125" s="123"/>
      <c r="L3125" s="123"/>
      <c r="M3125" s="331"/>
      <c r="N3125" s="124"/>
      <c r="O3125" s="124"/>
    </row>
    <row r="3126" spans="1:15">
      <c r="A3126" s="342"/>
      <c r="B3126" s="391"/>
      <c r="C3126" s="1027" t="s">
        <v>2283</v>
      </c>
      <c r="D3126" s="1027"/>
      <c r="E3126" s="1027"/>
      <c r="F3126" s="1027"/>
      <c r="G3126" s="337" t="s">
        <v>96</v>
      </c>
      <c r="H3126" s="400">
        <v>2</v>
      </c>
      <c r="I3126" s="149"/>
      <c r="J3126" s="149"/>
      <c r="K3126" s="123"/>
      <c r="L3126" s="123"/>
      <c r="M3126" s="331"/>
      <c r="N3126" s="124"/>
      <c r="O3126" s="124"/>
    </row>
    <row r="3127" spans="1:15">
      <c r="A3127" s="342"/>
      <c r="B3127" s="391"/>
      <c r="C3127" s="1027" t="s">
        <v>2284</v>
      </c>
      <c r="D3127" s="1027"/>
      <c r="E3127" s="1027"/>
      <c r="F3127" s="1027"/>
      <c r="G3127" s="337" t="s">
        <v>96</v>
      </c>
      <c r="H3127" s="400">
        <v>2</v>
      </c>
      <c r="I3127" s="149"/>
      <c r="J3127" s="149"/>
      <c r="K3127" s="123"/>
      <c r="L3127" s="123"/>
      <c r="M3127" s="331"/>
      <c r="N3127" s="124"/>
      <c r="O3127" s="124"/>
    </row>
    <row r="3128" spans="1:15" ht="12.75" customHeight="1">
      <c r="A3128" s="373" t="s">
        <v>11</v>
      </c>
      <c r="B3128" s="375" t="s">
        <v>13</v>
      </c>
      <c r="C3128" s="1007" t="s">
        <v>1443</v>
      </c>
      <c r="D3128" s="1007"/>
      <c r="E3128" s="1007"/>
      <c r="F3128" s="1007"/>
      <c r="G3128" s="375" t="s">
        <v>15</v>
      </c>
      <c r="H3128" s="375" t="s">
        <v>1444</v>
      </c>
      <c r="I3128" s="375" t="s">
        <v>1445</v>
      </c>
      <c r="J3128" s="375" t="s">
        <v>1446</v>
      </c>
      <c r="K3128" s="375" t="s">
        <v>1447</v>
      </c>
      <c r="L3128" s="375" t="s">
        <v>1448</v>
      </c>
      <c r="M3128" s="375" t="s">
        <v>1457</v>
      </c>
      <c r="N3128" s="375" t="s">
        <v>1450</v>
      </c>
      <c r="O3128" s="375" t="s">
        <v>1451</v>
      </c>
    </row>
    <row r="3129" spans="1:15" s="138" customFormat="1">
      <c r="A3129" s="376"/>
      <c r="B3129" s="376" t="str">
        <f>ORÇAMENTO!C681</f>
        <v>20.03</v>
      </c>
      <c r="C3129" s="1008" t="str">
        <f>ORÇAMENTO!D681</f>
        <v>LIMPEZA FINAL DA OBRA</v>
      </c>
      <c r="D3129" s="1008"/>
      <c r="E3129" s="1008"/>
      <c r="F3129" s="1008"/>
      <c r="G3129" s="1039"/>
      <c r="H3129" s="1039"/>
      <c r="I3129" s="1039"/>
      <c r="J3129" s="1039"/>
      <c r="K3129" s="1039"/>
      <c r="L3129" s="1039"/>
      <c r="M3129" s="1039"/>
      <c r="N3129" s="1039"/>
      <c r="O3129" s="1039"/>
    </row>
    <row r="3130" spans="1:15">
      <c r="A3130" s="377">
        <f>ORÇAMENTO!A682</f>
        <v>2450</v>
      </c>
      <c r="B3130" s="377" t="str">
        <f>ORÇAMENTO!C682</f>
        <v>20.03.01</v>
      </c>
      <c r="C3130" s="1058" t="str">
        <f>ORÇAMENTO!D682</f>
        <v>LIMPEZA GERAL</v>
      </c>
      <c r="D3130" s="1058"/>
      <c r="E3130" s="1058"/>
      <c r="F3130" s="1058"/>
      <c r="G3130" s="425" t="str">
        <f>ORÇAMENTO!E682</f>
        <v>M²</v>
      </c>
      <c r="H3130" s="481"/>
      <c r="I3130" s="397"/>
      <c r="J3130" s="397"/>
      <c r="K3130" s="152"/>
      <c r="L3130" s="152"/>
      <c r="M3130" s="152"/>
      <c r="N3130" s="115">
        <f>N3131</f>
        <v>2935.4</v>
      </c>
      <c r="O3130" s="153"/>
    </row>
    <row r="3131" spans="1:15">
      <c r="A3131" s="342"/>
      <c r="B3131" s="342"/>
      <c r="C3131" s="1027" t="s">
        <v>2285</v>
      </c>
      <c r="D3131" s="1027"/>
      <c r="E3131" s="1027"/>
      <c r="F3131" s="1027"/>
      <c r="G3131" s="343" t="s">
        <v>61</v>
      </c>
      <c r="H3131" s="469"/>
      <c r="I3131" s="340"/>
      <c r="J3131" s="340"/>
      <c r="K3131" s="340"/>
      <c r="L3131" s="340"/>
      <c r="M3131" s="340"/>
      <c r="N3131" s="340">
        <v>2935.4</v>
      </c>
      <c r="O3131" s="340"/>
    </row>
    <row r="3132" spans="1:15">
      <c r="C3132" s="1053"/>
      <c r="D3132" s="1053"/>
      <c r="E3132" s="1053"/>
      <c r="F3132" s="1053"/>
    </row>
    <row r="3133" spans="1:15">
      <c r="C3133" s="1054"/>
      <c r="D3133" s="1054"/>
      <c r="E3133" s="1054"/>
      <c r="F3133" s="1054"/>
    </row>
    <row r="3134" spans="1:15">
      <c r="A3134" s="1055" t="s">
        <v>1372</v>
      </c>
      <c r="B3134" s="1055"/>
      <c r="C3134" s="1055"/>
      <c r="D3134" s="1055"/>
      <c r="E3134" s="1055"/>
      <c r="F3134" s="1055"/>
      <c r="G3134" s="1055"/>
      <c r="H3134" s="1055"/>
      <c r="I3134" s="1055"/>
      <c r="J3134" s="1055"/>
      <c r="K3134" s="1055"/>
      <c r="L3134" s="1055"/>
      <c r="M3134" s="1055"/>
      <c r="N3134" s="1055"/>
      <c r="O3134" s="1055"/>
    </row>
    <row r="3135" spans="1:15" ht="12.75" customHeight="1">
      <c r="A3135" s="619" t="s">
        <v>11</v>
      </c>
      <c r="B3135" s="620" t="s">
        <v>13</v>
      </c>
      <c r="C3135" s="1056" t="s">
        <v>1443</v>
      </c>
      <c r="D3135" s="1056"/>
      <c r="E3135" s="1056"/>
      <c r="F3135" s="1056"/>
      <c r="G3135" s="620" t="s">
        <v>15</v>
      </c>
      <c r="H3135" s="620" t="s">
        <v>1444</v>
      </c>
      <c r="I3135" s="620" t="s">
        <v>1445</v>
      </c>
      <c r="J3135" s="620" t="s">
        <v>1446</v>
      </c>
      <c r="K3135" s="620" t="s">
        <v>1447</v>
      </c>
      <c r="L3135" s="620" t="s">
        <v>1448</v>
      </c>
      <c r="M3135" s="620" t="s">
        <v>1457</v>
      </c>
      <c r="N3135" s="620" t="s">
        <v>1450</v>
      </c>
      <c r="O3135" s="620" t="s">
        <v>1451</v>
      </c>
    </row>
    <row r="3136" spans="1:15" ht="21" customHeight="1">
      <c r="A3136" s="376"/>
      <c r="B3136" s="376" t="str">
        <f>ORÇAMENTO!C693</f>
        <v>1.00</v>
      </c>
      <c r="C3136" s="1051" t="str">
        <f>ORÇAMENTO!D693</f>
        <v>CÂMERAS</v>
      </c>
      <c r="D3136" s="1051"/>
      <c r="E3136" s="1051"/>
      <c r="F3136" s="1051"/>
      <c r="G3136" s="1039"/>
      <c r="H3136" s="1039"/>
      <c r="I3136" s="1039"/>
      <c r="J3136" s="1039"/>
      <c r="K3136" s="1039"/>
      <c r="L3136" s="1039"/>
      <c r="M3136" s="1039"/>
      <c r="N3136" s="1039"/>
      <c r="O3136" s="1039"/>
    </row>
    <row r="3137" spans="1:15">
      <c r="A3137" s="377" t="str">
        <f>ORÇAMENTO!A694</f>
        <v>MERC04/15</v>
      </c>
      <c r="B3137" s="377" t="str">
        <f>ORÇAMENTO!C694</f>
        <v>1.01</v>
      </c>
      <c r="C3137" s="1003" t="str">
        <f>ORÇAMENTO!D694</f>
        <v>CÂMERA IP DOME 4020. FABRICANTE INTELBRAS OU SIMILAR</v>
      </c>
      <c r="D3137" s="1003"/>
      <c r="E3137" s="1003"/>
      <c r="F3137" s="1003"/>
      <c r="G3137" s="425" t="str">
        <f>ORÇAMENTO!E694</f>
        <v xml:space="preserve">UN </v>
      </c>
      <c r="H3137" s="383">
        <f>SUM(H3138:H3138)</f>
        <v>67</v>
      </c>
      <c r="I3137" s="380"/>
      <c r="J3137" s="380"/>
      <c r="K3137" s="115"/>
      <c r="L3137" s="115"/>
      <c r="M3137" s="115"/>
      <c r="N3137" s="115"/>
      <c r="O3137" s="116"/>
    </row>
    <row r="3138" spans="1:15" s="122" customFormat="1" ht="15" customHeight="1">
      <c r="A3138" s="337"/>
      <c r="B3138" s="337"/>
      <c r="C3138" s="1052" t="s">
        <v>2286</v>
      </c>
      <c r="D3138" s="1052"/>
      <c r="E3138" s="1052"/>
      <c r="F3138" s="1052"/>
      <c r="G3138" s="389" t="s">
        <v>55</v>
      </c>
      <c r="H3138" s="469">
        <v>67</v>
      </c>
      <c r="I3138" s="340"/>
      <c r="J3138" s="340"/>
      <c r="K3138" s="340"/>
      <c r="L3138" s="340"/>
      <c r="M3138" s="340"/>
      <c r="N3138" s="340"/>
      <c r="O3138" s="340"/>
    </row>
    <row r="3139" spans="1:15" ht="20.45" customHeight="1">
      <c r="A3139" s="376"/>
      <c r="B3139" s="376" t="str">
        <f>ORÇAMENTO!C695</f>
        <v>2.00</v>
      </c>
      <c r="C3139" s="1051" t="str">
        <f>ORÇAMENTO!D695</f>
        <v>APARELHOS DE AR CONDICIONADO</v>
      </c>
      <c r="D3139" s="1051"/>
      <c r="E3139" s="1051"/>
      <c r="F3139" s="1051"/>
      <c r="G3139" s="1039"/>
      <c r="H3139" s="1039"/>
      <c r="I3139" s="1039"/>
      <c r="J3139" s="1039"/>
      <c r="K3139" s="1039"/>
      <c r="L3139" s="1039"/>
      <c r="M3139" s="1039"/>
      <c r="N3139" s="1039"/>
      <c r="O3139" s="1039"/>
    </row>
    <row r="3140" spans="1:15" ht="33" customHeight="1">
      <c r="A3140" s="377" t="str">
        <f>ORÇAMENTO!A696</f>
        <v>I-42424</v>
      </c>
      <c r="B3140" s="377" t="str">
        <f>ORÇAMENTO!C696</f>
        <v>2.01</v>
      </c>
      <c r="C3140" s="1004" t="str">
        <f>ORÇAMENTO!D696</f>
        <v>AR CONDICIONADO SPLIT INVERTER, HI-WALL (PAREDE), 9000 BTU/H, CICLO FRIO, 60HZ, CLASSIFICACAO A (SELO PROCEL), GAS HFC, CONTROLE S/FIO</v>
      </c>
      <c r="D3140" s="1004"/>
      <c r="E3140" s="1004"/>
      <c r="F3140" s="1004"/>
      <c r="G3140" s="425" t="str">
        <f>ORÇAMENTO!E696</f>
        <v xml:space="preserve">UN </v>
      </c>
      <c r="H3140" s="383">
        <f>SUM(H3141:H3142)</f>
        <v>2</v>
      </c>
      <c r="I3140" s="380"/>
      <c r="J3140" s="380"/>
      <c r="K3140" s="115"/>
      <c r="L3140" s="115"/>
      <c r="M3140" s="115"/>
      <c r="N3140" s="115"/>
      <c r="O3140" s="116"/>
    </row>
    <row r="3141" spans="1:15" s="122" customFormat="1" ht="15" customHeight="1">
      <c r="A3141" s="337"/>
      <c r="B3141" s="337"/>
      <c r="C3141" s="1052" t="s">
        <v>2224</v>
      </c>
      <c r="D3141" s="1052"/>
      <c r="E3141" s="1052"/>
      <c r="F3141" s="1052"/>
      <c r="G3141" s="389" t="s">
        <v>55</v>
      </c>
      <c r="H3141" s="469">
        <v>2</v>
      </c>
      <c r="I3141" s="340"/>
      <c r="J3141" s="340"/>
      <c r="K3141" s="340"/>
      <c r="L3141" s="340"/>
      <c r="M3141" s="340"/>
      <c r="N3141" s="340"/>
      <c r="O3141" s="340"/>
    </row>
    <row r="3142" spans="1:15" s="122" customFormat="1" ht="15" customHeight="1">
      <c r="A3142" s="337"/>
      <c r="B3142" s="337"/>
      <c r="C3142" s="1052"/>
      <c r="D3142" s="1052"/>
      <c r="E3142" s="1052"/>
      <c r="F3142" s="1052"/>
      <c r="G3142" s="389"/>
      <c r="H3142" s="469"/>
      <c r="I3142" s="340"/>
      <c r="J3142" s="340"/>
      <c r="K3142" s="340"/>
      <c r="L3142" s="340"/>
      <c r="M3142" s="340"/>
      <c r="N3142" s="340"/>
      <c r="O3142" s="340"/>
    </row>
    <row r="3143" spans="1:15" ht="41.25" customHeight="1">
      <c r="A3143" s="377" t="str">
        <f>ORÇAMENTO!A697</f>
        <v>I-42425</v>
      </c>
      <c r="B3143" s="377" t="str">
        <f>ORÇAMENTO!C697</f>
        <v>2.03</v>
      </c>
      <c r="C3143" s="1004" t="str">
        <f>ORÇAMENTO!D697</f>
        <v>AR CONDICIONADO SPLIT INVERTER, HI-WALL (PAREDE), 12000 BTU/H, CICLO FRIO, 60HZ, CLASSIFICACAO A (SELO PROCEL), GAS HFC, CONTROLE S/FIO</v>
      </c>
      <c r="D3143" s="1004"/>
      <c r="E3143" s="1004"/>
      <c r="F3143" s="1004"/>
      <c r="G3143" s="425" t="str">
        <f>ORÇAMENTO!E697</f>
        <v xml:space="preserve">UN </v>
      </c>
      <c r="H3143" s="383">
        <f>SUM(H3144:H3147)</f>
        <v>4</v>
      </c>
      <c r="I3143" s="380"/>
      <c r="J3143" s="380"/>
      <c r="K3143" s="115"/>
      <c r="L3143" s="115"/>
      <c r="M3143" s="115"/>
      <c r="N3143" s="115"/>
      <c r="O3143" s="116"/>
    </row>
    <row r="3144" spans="1:15" s="122" customFormat="1" ht="12.75" customHeight="1">
      <c r="A3144" s="337"/>
      <c r="B3144" s="337"/>
      <c r="C3144" s="1052" t="s">
        <v>2224</v>
      </c>
      <c r="D3144" s="1052"/>
      <c r="E3144" s="1052"/>
      <c r="F3144" s="1052"/>
      <c r="G3144" s="389" t="s">
        <v>55</v>
      </c>
      <c r="H3144" s="469">
        <v>1</v>
      </c>
      <c r="I3144" s="340"/>
      <c r="J3144" s="340"/>
      <c r="K3144" s="340"/>
      <c r="L3144" s="340"/>
      <c r="M3144" s="340"/>
      <c r="N3144" s="340"/>
      <c r="O3144" s="340"/>
    </row>
    <row r="3145" spans="1:15" s="122" customFormat="1" ht="12.75" customHeight="1">
      <c r="A3145" s="337"/>
      <c r="B3145" s="337"/>
      <c r="C3145" s="1052" t="s">
        <v>2225</v>
      </c>
      <c r="D3145" s="1052"/>
      <c r="E3145" s="1052"/>
      <c r="F3145" s="1052"/>
      <c r="G3145" s="389" t="s">
        <v>55</v>
      </c>
      <c r="H3145" s="469">
        <v>1</v>
      </c>
      <c r="I3145" s="340"/>
      <c r="J3145" s="340"/>
      <c r="K3145" s="340"/>
      <c r="L3145" s="340"/>
      <c r="M3145" s="340"/>
      <c r="N3145" s="340"/>
      <c r="O3145" s="340"/>
    </row>
    <row r="3146" spans="1:15" s="122" customFormat="1" ht="12.75" customHeight="1">
      <c r="A3146" s="337"/>
      <c r="B3146" s="337"/>
      <c r="C3146" s="1052" t="s">
        <v>2226</v>
      </c>
      <c r="D3146" s="1052"/>
      <c r="E3146" s="1052"/>
      <c r="F3146" s="1052"/>
      <c r="G3146" s="389" t="s">
        <v>55</v>
      </c>
      <c r="H3146" s="469">
        <v>1</v>
      </c>
      <c r="I3146" s="340"/>
      <c r="J3146" s="340"/>
      <c r="K3146" s="340"/>
      <c r="L3146" s="340"/>
      <c r="M3146" s="340"/>
      <c r="N3146" s="340"/>
      <c r="O3146" s="340"/>
    </row>
    <row r="3147" spans="1:15" s="122" customFormat="1" ht="12.75" customHeight="1">
      <c r="A3147" s="337"/>
      <c r="B3147" s="337"/>
      <c r="C3147" s="1052" t="s">
        <v>2227</v>
      </c>
      <c r="D3147" s="1052"/>
      <c r="E3147" s="1052"/>
      <c r="F3147" s="1052"/>
      <c r="G3147" s="389" t="s">
        <v>55</v>
      </c>
      <c r="H3147" s="469">
        <v>1</v>
      </c>
      <c r="I3147" s="340"/>
      <c r="J3147" s="340"/>
      <c r="K3147" s="340"/>
      <c r="L3147" s="340"/>
      <c r="M3147" s="340"/>
      <c r="N3147" s="340"/>
      <c r="O3147" s="340"/>
    </row>
    <row r="3148" spans="1:15" ht="36.75" customHeight="1">
      <c r="A3148" s="377" t="str">
        <f>ORÇAMENTO!A698</f>
        <v>I-42422</v>
      </c>
      <c r="B3148" s="377" t="str">
        <f>ORÇAMENTO!C698</f>
        <v>2.04</v>
      </c>
      <c r="C3148" s="1004" t="str">
        <f>ORÇAMENTO!D698</f>
        <v>AR CONDICIONADO SPLIT INVERTER, HI-WALL (PAREDE), 18000 BTU/H, CICLO FRIO, 60HZ, CLASSIFICACAO A (SELO PROCEL), GAS HFC, CONTROLE S/FIO</v>
      </c>
      <c r="D3148" s="1004"/>
      <c r="E3148" s="1004"/>
      <c r="F3148" s="1004"/>
      <c r="G3148" s="425" t="s">
        <v>55</v>
      </c>
      <c r="H3148" s="383">
        <f>SUM(H3149:H3156)</f>
        <v>12</v>
      </c>
      <c r="I3148" s="380"/>
      <c r="J3148" s="380"/>
      <c r="K3148" s="115"/>
      <c r="L3148" s="115"/>
      <c r="M3148" s="115"/>
      <c r="N3148" s="115"/>
      <c r="O3148" s="116"/>
    </row>
    <row r="3149" spans="1:15" s="143" customFormat="1" ht="18" customHeight="1">
      <c r="A3149" s="337"/>
      <c r="B3149" s="337"/>
      <c r="C3149" s="1052" t="s">
        <v>2228</v>
      </c>
      <c r="D3149" s="1052"/>
      <c r="E3149" s="1052"/>
      <c r="F3149" s="1052"/>
      <c r="G3149" s="389" t="s">
        <v>55</v>
      </c>
      <c r="H3149" s="469">
        <v>2</v>
      </c>
      <c r="I3149" s="340"/>
      <c r="J3149" s="340"/>
      <c r="K3149" s="340"/>
      <c r="L3149" s="340"/>
      <c r="M3149" s="340"/>
      <c r="N3149" s="340"/>
      <c r="O3149" s="340"/>
    </row>
    <row r="3150" spans="1:15" s="143" customFormat="1" ht="18" customHeight="1">
      <c r="A3150" s="337"/>
      <c r="B3150" s="337"/>
      <c r="C3150" s="1052" t="s">
        <v>2229</v>
      </c>
      <c r="D3150" s="1052"/>
      <c r="E3150" s="1052"/>
      <c r="F3150" s="1052"/>
      <c r="G3150" s="389" t="s">
        <v>55</v>
      </c>
      <c r="H3150" s="469">
        <v>1</v>
      </c>
      <c r="I3150" s="340"/>
      <c r="J3150" s="340"/>
      <c r="K3150" s="340"/>
      <c r="L3150" s="340"/>
      <c r="M3150" s="340"/>
      <c r="N3150" s="340"/>
      <c r="O3150" s="340"/>
    </row>
    <row r="3151" spans="1:15" s="143" customFormat="1" ht="18" customHeight="1">
      <c r="A3151" s="337"/>
      <c r="B3151" s="337"/>
      <c r="C3151" s="1052" t="s">
        <v>2230</v>
      </c>
      <c r="D3151" s="1052"/>
      <c r="E3151" s="1052"/>
      <c r="F3151" s="1052"/>
      <c r="G3151" s="389" t="s">
        <v>55</v>
      </c>
      <c r="H3151" s="469">
        <v>1</v>
      </c>
      <c r="I3151" s="340"/>
      <c r="J3151" s="340"/>
      <c r="K3151" s="340"/>
      <c r="L3151" s="340"/>
      <c r="M3151" s="340"/>
      <c r="N3151" s="340"/>
      <c r="O3151" s="340"/>
    </row>
    <row r="3152" spans="1:15" s="143" customFormat="1" ht="18" customHeight="1">
      <c r="A3152" s="337"/>
      <c r="B3152" s="337"/>
      <c r="C3152" s="1052" t="s">
        <v>2231</v>
      </c>
      <c r="D3152" s="1052"/>
      <c r="E3152" s="1052"/>
      <c r="F3152" s="1052"/>
      <c r="G3152" s="389" t="s">
        <v>55</v>
      </c>
      <c r="H3152" s="469">
        <v>2</v>
      </c>
      <c r="I3152" s="340"/>
      <c r="J3152" s="340"/>
      <c r="K3152" s="340"/>
      <c r="L3152" s="340"/>
      <c r="M3152" s="340"/>
      <c r="N3152" s="340"/>
      <c r="O3152" s="340"/>
    </row>
    <row r="3153" spans="1:15" s="143" customFormat="1" ht="18" customHeight="1">
      <c r="A3153" s="337"/>
      <c r="B3153" s="337"/>
      <c r="C3153" s="1052" t="s">
        <v>2232</v>
      </c>
      <c r="D3153" s="1052"/>
      <c r="E3153" s="1052"/>
      <c r="F3153" s="1052"/>
      <c r="G3153" s="389" t="s">
        <v>55</v>
      </c>
      <c r="H3153" s="469">
        <v>1</v>
      </c>
      <c r="I3153" s="340"/>
      <c r="J3153" s="340"/>
      <c r="K3153" s="340"/>
      <c r="L3153" s="340"/>
      <c r="M3153" s="340"/>
      <c r="N3153" s="340"/>
      <c r="O3153" s="340"/>
    </row>
    <row r="3154" spans="1:15" s="143" customFormat="1" ht="18" customHeight="1">
      <c r="A3154" s="337"/>
      <c r="B3154" s="337"/>
      <c r="C3154" s="1052" t="s">
        <v>2233</v>
      </c>
      <c r="D3154" s="1052"/>
      <c r="E3154" s="1052"/>
      <c r="F3154" s="1052"/>
      <c r="G3154" s="389" t="s">
        <v>55</v>
      </c>
      <c r="H3154" s="469">
        <v>1</v>
      </c>
      <c r="I3154" s="340"/>
      <c r="J3154" s="340"/>
      <c r="K3154" s="340"/>
      <c r="L3154" s="340"/>
      <c r="M3154" s="340"/>
      <c r="N3154" s="340"/>
      <c r="O3154" s="340"/>
    </row>
    <row r="3155" spans="1:15" s="143" customFormat="1" ht="18" customHeight="1">
      <c r="A3155" s="337"/>
      <c r="B3155" s="337"/>
      <c r="C3155" s="1052" t="s">
        <v>2234</v>
      </c>
      <c r="D3155" s="1052"/>
      <c r="E3155" s="1052"/>
      <c r="F3155" s="1052"/>
      <c r="G3155" s="389" t="s">
        <v>55</v>
      </c>
      <c r="H3155" s="469">
        <v>2</v>
      </c>
      <c r="I3155" s="340"/>
      <c r="J3155" s="340"/>
      <c r="K3155" s="340"/>
      <c r="L3155" s="340"/>
      <c r="M3155" s="340"/>
      <c r="N3155" s="340"/>
      <c r="O3155" s="340"/>
    </row>
    <row r="3156" spans="1:15" s="143" customFormat="1" ht="18" customHeight="1">
      <c r="A3156" s="337"/>
      <c r="B3156" s="337"/>
      <c r="C3156" s="1052" t="s">
        <v>2235</v>
      </c>
      <c r="D3156" s="1052"/>
      <c r="E3156" s="1052"/>
      <c r="F3156" s="1052"/>
      <c r="G3156" s="389" t="s">
        <v>55</v>
      </c>
      <c r="H3156" s="469">
        <v>2</v>
      </c>
      <c r="I3156" s="340"/>
      <c r="J3156" s="340"/>
      <c r="K3156" s="340"/>
      <c r="L3156" s="340"/>
      <c r="M3156" s="340"/>
      <c r="N3156" s="340"/>
      <c r="O3156" s="340"/>
    </row>
    <row r="3157" spans="1:15" ht="33.75" customHeight="1">
      <c r="A3157" s="377" t="str">
        <f>ORÇAMENTO!A699</f>
        <v>I-43184</v>
      </c>
      <c r="B3157" s="377" t="str">
        <f>ORÇAMENTO!C699</f>
        <v>2.05</v>
      </c>
      <c r="C3157" s="1004" t="str">
        <f>ORÇAMENTO!D699</f>
        <v>AR CONDICIONADO SPLIT INVERTER, HI-WALL (PAREDE), 24000 BTU/H, CICLO FRIO, 60HZ, CLASSIFICACAO A (SELO PROCEL), GAS HFC, CONTROLE S/FIO</v>
      </c>
      <c r="D3157" s="1004"/>
      <c r="E3157" s="1004"/>
      <c r="F3157" s="1004"/>
      <c r="G3157" s="425" t="str">
        <f>ORÇAMENTO!E699</f>
        <v xml:space="preserve">UN </v>
      </c>
      <c r="H3157" s="383">
        <f>SUM(H3158:H3159)</f>
        <v>1</v>
      </c>
      <c r="I3157" s="380"/>
      <c r="J3157" s="380"/>
      <c r="K3157" s="115"/>
      <c r="L3157" s="115"/>
      <c r="M3157" s="115"/>
      <c r="N3157" s="115"/>
      <c r="O3157" s="116"/>
    </row>
    <row r="3158" spans="1:15" s="122" customFormat="1" ht="12.75" customHeight="1">
      <c r="A3158" s="337"/>
      <c r="B3158" s="337"/>
      <c r="C3158" s="1052" t="s">
        <v>2236</v>
      </c>
      <c r="D3158" s="1052"/>
      <c r="E3158" s="1052"/>
      <c r="F3158" s="1052"/>
      <c r="G3158" s="389" t="s">
        <v>55</v>
      </c>
      <c r="H3158" s="469">
        <v>1</v>
      </c>
      <c r="I3158" s="340"/>
      <c r="J3158" s="340"/>
      <c r="K3158" s="340"/>
      <c r="L3158" s="340"/>
      <c r="M3158" s="340"/>
      <c r="N3158" s="340"/>
      <c r="O3158" s="340"/>
    </row>
    <row r="3159" spans="1:15" s="122" customFormat="1" ht="13.5" customHeight="1">
      <c r="A3159" s="337"/>
      <c r="B3159" s="337"/>
      <c r="C3159" s="1052"/>
      <c r="D3159" s="1052"/>
      <c r="E3159" s="1052"/>
      <c r="F3159" s="1052"/>
      <c r="G3159" s="389"/>
      <c r="H3159" s="469"/>
      <c r="I3159" s="340"/>
      <c r="J3159" s="340"/>
      <c r="K3159" s="340"/>
      <c r="L3159" s="340"/>
      <c r="M3159" s="340"/>
      <c r="N3159" s="340"/>
      <c r="O3159" s="340"/>
    </row>
    <row r="3160" spans="1:15" ht="30" customHeight="1">
      <c r="A3160" s="377" t="str">
        <f>ORÇAMENTO!A700</f>
        <v>I-43187</v>
      </c>
      <c r="B3160" s="377" t="str">
        <f>ORÇAMENTO!C700</f>
        <v>2.06</v>
      </c>
      <c r="C3160" s="1004" t="str">
        <f>ORÇAMENTO!D700</f>
        <v>AR CONDICIONADO SPLIT ON/OFF, PISO TETO, 36.000 BTU/H, CICLO FRIO, 60HZ, CLASSIFICACAO ENERGETICA C - SELO PROCEL, GAS HFC, CONTROLE S/FIO</v>
      </c>
      <c r="D3160" s="1004"/>
      <c r="E3160" s="1004"/>
      <c r="F3160" s="1004"/>
      <c r="G3160" s="425" t="s">
        <v>55</v>
      </c>
      <c r="H3160" s="383">
        <f>H3161</f>
        <v>4</v>
      </c>
      <c r="I3160" s="380"/>
      <c r="J3160" s="380"/>
      <c r="K3160" s="115"/>
      <c r="L3160" s="115"/>
      <c r="M3160" s="115"/>
      <c r="N3160" s="115"/>
      <c r="O3160" s="116"/>
    </row>
    <row r="3161" spans="1:15" s="122" customFormat="1" ht="12.75" customHeight="1">
      <c r="A3161" s="337"/>
      <c r="B3161" s="337"/>
      <c r="C3161" s="1052" t="s">
        <v>2237</v>
      </c>
      <c r="D3161" s="1052"/>
      <c r="E3161" s="1052"/>
      <c r="F3161" s="1052"/>
      <c r="G3161" s="389" t="str">
        <f>ORÇAMENTO!E700</f>
        <v xml:space="preserve">UN </v>
      </c>
      <c r="H3161" s="469">
        <v>4</v>
      </c>
      <c r="I3161" s="340"/>
      <c r="J3161" s="340"/>
      <c r="K3161" s="340"/>
      <c r="L3161" s="340"/>
      <c r="M3161" s="340"/>
      <c r="N3161" s="340"/>
      <c r="O3161" s="340"/>
    </row>
    <row r="3162" spans="1:15">
      <c r="A3162" s="342"/>
      <c r="B3162" s="376" t="str">
        <f>ORÇAMENTO!C701</f>
        <v>3.00</v>
      </c>
      <c r="C3162" s="1057"/>
      <c r="D3162" s="1057"/>
      <c r="E3162" s="1057"/>
      <c r="F3162" s="1057"/>
      <c r="G3162" s="343"/>
      <c r="H3162" s="469"/>
      <c r="I3162" s="340"/>
      <c r="J3162" s="340"/>
      <c r="K3162" s="128"/>
      <c r="L3162" s="128"/>
      <c r="M3162" s="128"/>
      <c r="N3162" s="128"/>
      <c r="O3162" s="128"/>
    </row>
    <row r="3163" spans="1:15" ht="60.75" customHeight="1">
      <c r="A3163" s="377">
        <f>ORÇAMENTO!A702</f>
        <v>11087</v>
      </c>
      <c r="B3163" s="377" t="str">
        <f>ORÇAMENTO!C702</f>
        <v>3.01</v>
      </c>
      <c r="C3163" s="1003" t="str">
        <f>ORÇAMENTO!D702</f>
        <v>MOTOBOMBA CENTRÍFUGA SUBMERSÍVEL, MARCA SCHNEIDER OU SIMILAR, MODELO BCS-C5, MOTOR 1/2 CV, TRIFÁSICO 220V, RECALQUE 2", HM = 2 A 8 M, Q = 10,3 A 18,5M3/H</v>
      </c>
      <c r="D3163" s="1003"/>
      <c r="E3163" s="1003"/>
      <c r="F3163" s="1003"/>
      <c r="G3163" s="425" t="str">
        <f>ORÇAMENTO!E702</f>
        <v xml:space="preserve">UN </v>
      </c>
      <c r="H3163" s="383">
        <f>H3164</f>
        <v>4</v>
      </c>
      <c r="I3163" s="380"/>
      <c r="J3163" s="380"/>
      <c r="K3163" s="115"/>
      <c r="L3163" s="115"/>
      <c r="M3163" s="115"/>
      <c r="N3163" s="115"/>
      <c r="O3163" s="116"/>
    </row>
    <row r="3164" spans="1:15">
      <c r="A3164" s="337"/>
      <c r="B3164" s="337"/>
      <c r="C3164" s="1002" t="s">
        <v>2287</v>
      </c>
      <c r="D3164" s="1002"/>
      <c r="E3164" s="1002"/>
      <c r="F3164" s="1002"/>
      <c r="G3164" s="389" t="s">
        <v>55</v>
      </c>
      <c r="H3164" s="469">
        <v>4</v>
      </c>
      <c r="I3164" s="340"/>
      <c r="J3164" s="340"/>
      <c r="K3164" s="340"/>
      <c r="L3164" s="340"/>
      <c r="M3164" s="340"/>
      <c r="N3164" s="340"/>
      <c r="O3164" s="340"/>
    </row>
    <row r="3165" spans="1:15">
      <c r="A3165" s="376"/>
      <c r="B3165" s="376" t="str">
        <f>ORÇAMENTO!C703</f>
        <v>4.00</v>
      </c>
      <c r="C3165" s="1051" t="str">
        <f>ORÇAMENTO!D703</f>
        <v>APARELHOS ELETRÔNICOS</v>
      </c>
      <c r="D3165" s="1051"/>
      <c r="E3165" s="1051"/>
      <c r="F3165" s="1051"/>
      <c r="G3165" s="1039"/>
      <c r="H3165" s="1039"/>
      <c r="I3165" s="1039"/>
      <c r="J3165" s="1039"/>
      <c r="K3165" s="1039"/>
      <c r="L3165" s="1039"/>
      <c r="M3165" s="1039"/>
      <c r="N3165" s="1039"/>
      <c r="O3165" s="1039"/>
    </row>
    <row r="3166" spans="1:15">
      <c r="A3166" s="376"/>
      <c r="B3166" s="376" t="str">
        <f>ORÇAMENTO!C704</f>
        <v>4.01</v>
      </c>
      <c r="C3166" s="1051" t="str">
        <f>ORÇAMENTO!D704</f>
        <v>SISTEMA DE DADOS E VOZ</v>
      </c>
      <c r="D3166" s="1051"/>
      <c r="E3166" s="1051"/>
      <c r="F3166" s="1051"/>
      <c r="G3166" s="1039"/>
      <c r="H3166" s="1039"/>
      <c r="I3166" s="1039"/>
      <c r="J3166" s="1039"/>
      <c r="K3166" s="1039"/>
      <c r="L3166" s="1039"/>
      <c r="M3166" s="1039"/>
      <c r="N3166" s="1039"/>
      <c r="O3166" s="1039"/>
    </row>
    <row r="3167" spans="1:15" ht="27.75" customHeight="1">
      <c r="A3167" s="377">
        <f>ORÇAMENTO!A705</f>
        <v>8507</v>
      </c>
      <c r="B3167" s="377" t="str">
        <f>ORÇAMENTO!C705</f>
        <v>4.01.01</v>
      </c>
      <c r="C3167" s="1003" t="str">
        <f>ORÇAMENTO!D705</f>
        <v>CENTRAL PABX, CAPACIDADE 8 LINHAS E 24 RAMAIS, MOD. CORP 8000, INTELBRÁS OU SIMILAR - FORNECIMENTO</v>
      </c>
      <c r="D3167" s="1003"/>
      <c r="E3167" s="1003"/>
      <c r="F3167" s="1003"/>
      <c r="G3167" s="425" t="str">
        <f>ORÇAMENTO!E705</f>
        <v xml:space="preserve">UN </v>
      </c>
      <c r="H3167" s="383">
        <f>H3168</f>
        <v>1</v>
      </c>
      <c r="I3167" s="380"/>
      <c r="J3167" s="380"/>
      <c r="K3167" s="115"/>
      <c r="L3167" s="115"/>
      <c r="M3167" s="115"/>
      <c r="N3167" s="115"/>
      <c r="O3167" s="116"/>
    </row>
    <row r="3168" spans="1:15" ht="26.25" customHeight="1">
      <c r="A3168" s="342"/>
      <c r="B3168" s="342"/>
      <c r="C3168" s="1052" t="s">
        <v>1085</v>
      </c>
      <c r="D3168" s="1052"/>
      <c r="E3168" s="1052"/>
      <c r="F3168" s="1052"/>
      <c r="G3168" s="343" t="s">
        <v>55</v>
      </c>
      <c r="H3168" s="469">
        <v>1</v>
      </c>
      <c r="I3168" s="340"/>
      <c r="J3168" s="340"/>
      <c r="K3168" s="340"/>
      <c r="L3168" s="340"/>
      <c r="M3168" s="340"/>
      <c r="N3168" s="340"/>
      <c r="O3168" s="340"/>
    </row>
    <row r="3169" spans="1:15" ht="42.75" customHeight="1">
      <c r="A3169" s="377" t="str">
        <f>ORÇAMENTO!A706</f>
        <v>MERC04/13</v>
      </c>
      <c r="B3169" s="377" t="str">
        <f>ORÇAMENTO!C706</f>
        <v>4.01.02</v>
      </c>
      <c r="C3169" s="1003" t="str">
        <f>ORÇAMENTO!D706</f>
        <v>SWITCH DE CAMADA 2, 48 PORTAS 1GB (48 DELAS ENERGIZADAS) + 4 INTERFACES SFP+ 10GBE. REDE CAT.6A. FABRICANTES: DELL, TPLINK, CISCO, HP OU SIMILAR DE QUALIDADE</v>
      </c>
      <c r="D3169" s="1003"/>
      <c r="E3169" s="1003"/>
      <c r="F3169" s="1003"/>
      <c r="G3169" s="425" t="str">
        <f>ORÇAMENTO!E706</f>
        <v xml:space="preserve">UN </v>
      </c>
      <c r="H3169" s="383">
        <f>SUM(H3170:H3170)</f>
        <v>5</v>
      </c>
      <c r="I3169" s="380"/>
      <c r="J3169" s="380"/>
      <c r="K3169" s="115"/>
      <c r="L3169" s="115"/>
      <c r="M3169" s="115"/>
      <c r="N3169" s="115"/>
      <c r="O3169" s="116"/>
    </row>
    <row r="3170" spans="1:15" s="122" customFormat="1" ht="12.75" customHeight="1">
      <c r="A3170" s="337"/>
      <c r="B3170" s="337"/>
      <c r="C3170" s="1052" t="s">
        <v>1085</v>
      </c>
      <c r="D3170" s="1052"/>
      <c r="E3170" s="1052"/>
      <c r="F3170" s="1052"/>
      <c r="G3170" s="389" t="s">
        <v>55</v>
      </c>
      <c r="H3170" s="469">
        <v>5</v>
      </c>
      <c r="I3170" s="340"/>
      <c r="J3170" s="340"/>
      <c r="K3170" s="128"/>
      <c r="L3170" s="128"/>
      <c r="M3170" s="128"/>
      <c r="N3170" s="128"/>
      <c r="O3170" s="128"/>
    </row>
    <row r="3171" spans="1:15" ht="27.75" customHeight="1">
      <c r="A3171" s="377">
        <f>ORÇAMENTO!A707</f>
        <v>11419</v>
      </c>
      <c r="B3171" s="377" t="str">
        <f>ORÇAMENTO!C707</f>
        <v>4.01.03</v>
      </c>
      <c r="C3171" s="1004" t="str">
        <f>ORÇAMENTO!D707</f>
        <v>RÉGUA (FILTRO DE LINHA) COM 8 TOMADAS</v>
      </c>
      <c r="D3171" s="1004"/>
      <c r="E3171" s="1004"/>
      <c r="F3171" s="1004"/>
      <c r="G3171" s="425" t="str">
        <f>ORÇAMENTO!E707</f>
        <v xml:space="preserve">UN </v>
      </c>
      <c r="H3171" s="383">
        <f>SUM(H3172:H3172)</f>
        <v>1</v>
      </c>
      <c r="I3171" s="380"/>
      <c r="J3171" s="380"/>
      <c r="K3171" s="115"/>
      <c r="L3171" s="115"/>
      <c r="M3171" s="115"/>
      <c r="N3171" s="115"/>
      <c r="O3171" s="116"/>
    </row>
    <row r="3172" spans="1:15" ht="12.75" customHeight="1">
      <c r="A3172" s="337"/>
      <c r="B3172" s="337"/>
      <c r="C3172" s="1052" t="s">
        <v>1085</v>
      </c>
      <c r="D3172" s="1052"/>
      <c r="E3172" s="1052"/>
      <c r="F3172" s="1052"/>
      <c r="G3172" s="389" t="s">
        <v>55</v>
      </c>
      <c r="H3172" s="469">
        <v>1</v>
      </c>
      <c r="I3172" s="482"/>
      <c r="J3172" s="482"/>
      <c r="K3172" s="154"/>
      <c r="L3172" s="154"/>
      <c r="M3172" s="154"/>
      <c r="N3172" s="154"/>
      <c r="O3172" s="154"/>
    </row>
    <row r="3173" spans="1:15" ht="26.25" customHeight="1">
      <c r="A3173" s="377">
        <f>ORÇAMENTO!A708</f>
        <v>10305</v>
      </c>
      <c r="B3173" s="377" t="str">
        <f>ORÇAMENTO!C708</f>
        <v>4.01.04</v>
      </c>
      <c r="C3173" s="1003" t="str">
        <f>ORÇAMENTO!D708</f>
        <v>FORNECIMENTO E MONTAGEM DE RACK FECHADO TIPO ARMÁRIO 19" X 36U X 670MM</v>
      </c>
      <c r="D3173" s="1003"/>
      <c r="E3173" s="1003"/>
      <c r="F3173" s="1003"/>
      <c r="G3173" s="425" t="str">
        <f>ORÇAMENTO!E706</f>
        <v xml:space="preserve">UN </v>
      </c>
      <c r="H3173" s="383">
        <f>SUM(H3174)</f>
        <v>1</v>
      </c>
      <c r="I3173" s="380"/>
      <c r="J3173" s="380"/>
      <c r="K3173" s="115"/>
      <c r="L3173" s="115"/>
      <c r="M3173" s="115"/>
      <c r="N3173" s="115"/>
      <c r="O3173" s="116"/>
    </row>
    <row r="3174" spans="1:15" s="122" customFormat="1" ht="12.75" customHeight="1">
      <c r="A3174" s="337"/>
      <c r="B3174" s="337"/>
      <c r="C3174" s="1052" t="s">
        <v>2288</v>
      </c>
      <c r="D3174" s="1052"/>
      <c r="E3174" s="1052"/>
      <c r="F3174" s="1052"/>
      <c r="G3174" s="389"/>
      <c r="H3174" s="469">
        <v>1</v>
      </c>
      <c r="I3174" s="340"/>
      <c r="J3174" s="340"/>
      <c r="K3174" s="340"/>
      <c r="L3174" s="340"/>
      <c r="M3174" s="340"/>
      <c r="N3174" s="340"/>
      <c r="O3174" s="340"/>
    </row>
    <row r="3175" spans="1:15" ht="26.25" customHeight="1">
      <c r="A3175" s="377">
        <f>ORÇAMENTO!A709</f>
        <v>98304</v>
      </c>
      <c r="B3175" s="377" t="str">
        <f>ORÇAMENTO!C709</f>
        <v>4.01.05</v>
      </c>
      <c r="C3175" s="1004" t="str">
        <f>ORÇAMENTO!D709</f>
        <v>PATCH PANEL 48 PORTAS, CATEGORIA 6 - FORNECIMENTO E INSTALAÇÃO. AF_03/2018</v>
      </c>
      <c r="D3175" s="1004"/>
      <c r="E3175" s="1004"/>
      <c r="F3175" s="1004"/>
      <c r="G3175" s="425" t="str">
        <f>ORÇAMENTO!E709</f>
        <v xml:space="preserve">UN </v>
      </c>
      <c r="H3175" s="383">
        <f>SUM(H3176:H3176)</f>
        <v>3</v>
      </c>
      <c r="I3175" s="380"/>
      <c r="J3175" s="380"/>
      <c r="K3175" s="115"/>
      <c r="L3175" s="115"/>
      <c r="M3175" s="115"/>
      <c r="N3175" s="115"/>
      <c r="O3175" s="116"/>
    </row>
    <row r="3176" spans="1:15" s="122" customFormat="1" ht="12.75" customHeight="1">
      <c r="A3176" s="337"/>
      <c r="B3176" s="337"/>
      <c r="C3176" s="1052" t="s">
        <v>1085</v>
      </c>
      <c r="D3176" s="1052"/>
      <c r="E3176" s="1052"/>
      <c r="F3176" s="1052"/>
      <c r="G3176" s="389" t="s">
        <v>55</v>
      </c>
      <c r="H3176" s="469">
        <v>3</v>
      </c>
      <c r="I3176" s="340"/>
      <c r="J3176" s="340"/>
      <c r="K3176" s="128"/>
      <c r="L3176" s="128"/>
      <c r="M3176" s="128"/>
      <c r="N3176" s="128"/>
      <c r="O3176" s="128"/>
    </row>
    <row r="3177" spans="1:15">
      <c r="A3177" s="377">
        <f>ORÇAMENTO!A710</f>
        <v>10727</v>
      </c>
      <c r="B3177" s="377" t="str">
        <f>ORÇAMENTO!C710</f>
        <v>4.01.06</v>
      </c>
      <c r="C3177" s="1004" t="str">
        <f>ORÇAMENTO!D710</f>
        <v>FORNECIMENTO E INSTALAÇÃO DE VOICE PANEL 24 PORTAS CAT 6</v>
      </c>
      <c r="D3177" s="1004"/>
      <c r="E3177" s="1004"/>
      <c r="F3177" s="1004"/>
      <c r="G3177" s="425" t="str">
        <f>ORÇAMENTO!E728</f>
        <v xml:space="preserve">UN </v>
      </c>
      <c r="H3177" s="383">
        <f>H3178</f>
        <v>4</v>
      </c>
      <c r="I3177" s="380"/>
      <c r="J3177" s="380"/>
      <c r="K3177" s="115"/>
      <c r="L3177" s="115"/>
      <c r="M3177" s="115"/>
      <c r="N3177" s="115"/>
      <c r="O3177" s="116"/>
    </row>
    <row r="3178" spans="1:15" ht="12.75" customHeight="1">
      <c r="A3178" s="337"/>
      <c r="B3178" s="337"/>
      <c r="C3178" s="1052" t="s">
        <v>1085</v>
      </c>
      <c r="D3178" s="1052"/>
      <c r="E3178" s="1052"/>
      <c r="F3178" s="1052"/>
      <c r="G3178" s="389" t="s">
        <v>55</v>
      </c>
      <c r="H3178" s="469">
        <v>4</v>
      </c>
      <c r="I3178" s="340"/>
      <c r="J3178" s="340"/>
      <c r="K3178" s="340"/>
      <c r="L3178" s="340"/>
      <c r="M3178" s="340"/>
      <c r="N3178" s="340"/>
      <c r="O3178" s="340"/>
    </row>
    <row r="3179" spans="1:15">
      <c r="A3179" s="377">
        <f>ORÇAMENTO!A711</f>
        <v>11307</v>
      </c>
      <c r="B3179" s="377" t="str">
        <f>ORÇAMENTO!C711</f>
        <v>4.01.07</v>
      </c>
      <c r="C3179" s="1004" t="str">
        <f>ORÇAMENTO!D711</f>
        <v>DISTRIBUIDOR INTERNO ÓPTICO - D.I.O</v>
      </c>
      <c r="D3179" s="1004"/>
      <c r="E3179" s="1004"/>
      <c r="F3179" s="1004"/>
      <c r="G3179" s="425" t="s">
        <v>2289</v>
      </c>
      <c r="H3179" s="383">
        <f>H3180</f>
        <v>1</v>
      </c>
      <c r="I3179" s="380"/>
      <c r="J3179" s="380"/>
      <c r="K3179" s="115"/>
      <c r="L3179" s="115"/>
      <c r="M3179" s="115"/>
      <c r="N3179" s="115"/>
      <c r="O3179" s="116"/>
    </row>
    <row r="3180" spans="1:15" ht="12.75" customHeight="1">
      <c r="A3180" s="337"/>
      <c r="B3180" s="337"/>
      <c r="C3180" s="1052" t="s">
        <v>1085</v>
      </c>
      <c r="D3180" s="1052"/>
      <c r="E3180" s="1052"/>
      <c r="F3180" s="1052"/>
      <c r="G3180" s="389" t="s">
        <v>55</v>
      </c>
      <c r="H3180" s="469">
        <v>1</v>
      </c>
      <c r="I3180" s="340"/>
      <c r="J3180" s="340"/>
      <c r="K3180" s="340"/>
      <c r="L3180" s="340"/>
      <c r="M3180" s="340"/>
      <c r="N3180" s="340"/>
      <c r="O3180" s="340"/>
    </row>
    <row r="3181" spans="1:15">
      <c r="A3181" s="377" t="str">
        <f>ORÇAMENTO!A712</f>
        <v>MERC04/01</v>
      </c>
      <c r="B3181" s="377" t="str">
        <f>ORÇAMENTO!C712</f>
        <v>4.01.08</v>
      </c>
      <c r="C3181" s="1004" t="str">
        <f>ORÇAMENTO!D712</f>
        <v>HD 4 TB</v>
      </c>
      <c r="D3181" s="1004"/>
      <c r="E3181" s="1004"/>
      <c r="F3181" s="1004"/>
      <c r="G3181" s="425" t="str">
        <f>ORÇAMENTO!E712</f>
        <v xml:space="preserve">UN </v>
      </c>
      <c r="H3181" s="383">
        <f>H3182</f>
        <v>1</v>
      </c>
      <c r="I3181" s="380"/>
      <c r="J3181" s="380"/>
      <c r="K3181" s="115"/>
      <c r="L3181" s="115"/>
      <c r="M3181" s="115"/>
      <c r="N3181" s="115"/>
      <c r="O3181" s="116"/>
    </row>
    <row r="3182" spans="1:15" s="122" customFormat="1" ht="12.75" customHeight="1">
      <c r="A3182" s="337"/>
      <c r="B3182" s="337"/>
      <c r="C3182" s="1052" t="s">
        <v>2290</v>
      </c>
      <c r="D3182" s="1052"/>
      <c r="E3182" s="1052"/>
      <c r="F3182" s="1052"/>
      <c r="G3182" s="389" t="s">
        <v>55</v>
      </c>
      <c r="H3182" s="469">
        <v>1</v>
      </c>
      <c r="I3182" s="340"/>
      <c r="J3182" s="340"/>
      <c r="K3182" s="340"/>
      <c r="L3182" s="340"/>
      <c r="M3182" s="340"/>
      <c r="N3182" s="340"/>
      <c r="O3182" s="340"/>
    </row>
    <row r="3183" spans="1:15">
      <c r="A3183" s="377" t="str">
        <f>ORÇAMENTO!A713</f>
        <v>I-09218</v>
      </c>
      <c r="B3183" s="377" t="str">
        <f>ORÇAMENTO!C713</f>
        <v>4.01.09</v>
      </c>
      <c r="C3183" s="1004" t="str">
        <f>ORÇAMENTO!D713</f>
        <v>MONITOR 42" - REF. 42LD460 LG OU SIMILAR</v>
      </c>
      <c r="D3183" s="1004"/>
      <c r="E3183" s="1004"/>
      <c r="F3183" s="1004"/>
      <c r="G3183" s="425" t="str">
        <f>ORÇAMENTO!E713</f>
        <v xml:space="preserve">UN </v>
      </c>
      <c r="H3183" s="383">
        <f>H3184</f>
        <v>1</v>
      </c>
      <c r="I3183" s="380"/>
      <c r="J3183" s="380"/>
      <c r="K3183" s="115"/>
      <c r="L3183" s="115"/>
      <c r="M3183" s="115"/>
      <c r="N3183" s="115"/>
      <c r="O3183" s="116"/>
    </row>
    <row r="3184" spans="1:15" s="122" customFormat="1" ht="12.75" customHeight="1">
      <c r="A3184" s="337"/>
      <c r="B3184" s="337"/>
      <c r="C3184" s="1052" t="s">
        <v>2290</v>
      </c>
      <c r="D3184" s="1052"/>
      <c r="E3184" s="1052"/>
      <c r="F3184" s="1052"/>
      <c r="G3184" s="389" t="s">
        <v>55</v>
      </c>
      <c r="H3184" s="469">
        <v>1</v>
      </c>
      <c r="I3184" s="340"/>
      <c r="J3184" s="340"/>
      <c r="K3184" s="340"/>
      <c r="L3184" s="340"/>
      <c r="M3184" s="340"/>
      <c r="N3184" s="340"/>
      <c r="O3184" s="340"/>
    </row>
    <row r="3185" spans="1:15">
      <c r="A3185" s="377" t="str">
        <f>ORÇAMENTO!A714</f>
        <v>MERC04/16</v>
      </c>
      <c r="B3185" s="377" t="str">
        <f>ORÇAMENTO!C714</f>
        <v>4.01.10</v>
      </c>
      <c r="C3185" s="1004" t="str">
        <f>ORÇAMENTO!D714</f>
        <v>DVDR CFTV STAND ALONE MULTI HD 32 CANAIS</v>
      </c>
      <c r="D3185" s="1004"/>
      <c r="E3185" s="1004"/>
      <c r="F3185" s="1004"/>
      <c r="G3185" s="425" t="str">
        <f>ORÇAMENTO!E714</f>
        <v xml:space="preserve">UN </v>
      </c>
      <c r="H3185" s="383">
        <f>H3186</f>
        <v>1</v>
      </c>
      <c r="I3185" s="380"/>
      <c r="J3185" s="380"/>
      <c r="K3185" s="115"/>
      <c r="L3185" s="115"/>
      <c r="M3185" s="115"/>
      <c r="N3185" s="115"/>
      <c r="O3185" s="116"/>
    </row>
    <row r="3186" spans="1:15" s="122" customFormat="1" ht="12.75" customHeight="1">
      <c r="A3186" s="337"/>
      <c r="B3186" s="337"/>
      <c r="C3186" s="1052" t="s">
        <v>2290</v>
      </c>
      <c r="D3186" s="1052"/>
      <c r="E3186" s="1052"/>
      <c r="F3186" s="1052"/>
      <c r="G3186" s="389" t="s">
        <v>55</v>
      </c>
      <c r="H3186" s="469">
        <v>1</v>
      </c>
      <c r="I3186" s="340"/>
      <c r="J3186" s="340"/>
      <c r="K3186" s="340"/>
      <c r="L3186" s="340"/>
      <c r="M3186" s="340"/>
      <c r="N3186" s="340"/>
      <c r="O3186" s="340"/>
    </row>
    <row r="3187" spans="1:15" ht="24" customHeight="1">
      <c r="A3187" s="377" t="str">
        <f>ORÇAMENTO!A715</f>
        <v>I-08016</v>
      </c>
      <c r="B3187" s="377" t="str">
        <f>ORÇAMENTO!C715</f>
        <v>4.01.11</v>
      </c>
      <c r="C3187" s="1004" t="str">
        <f>ORÇAMENTO!D715</f>
        <v>CENTRAL DE ALARME DIGITAL COM 2 BATERIAS ADEMCO VISTA 50 OU SIMILAR (ATÉ 40 PONTOS)</v>
      </c>
      <c r="D3187" s="1004"/>
      <c r="E3187" s="1004"/>
      <c r="F3187" s="1004"/>
      <c r="G3187" s="425" t="str">
        <f>ORÇAMENTO!E715</f>
        <v xml:space="preserve">UN </v>
      </c>
      <c r="H3187" s="383">
        <f>H3188</f>
        <v>1</v>
      </c>
      <c r="I3187" s="380"/>
      <c r="J3187" s="380"/>
      <c r="K3187" s="115"/>
      <c r="L3187" s="115"/>
      <c r="M3187" s="115"/>
      <c r="N3187" s="115"/>
      <c r="O3187" s="116"/>
    </row>
    <row r="3188" spans="1:15" s="122" customFormat="1" ht="12.75" customHeight="1">
      <c r="A3188" s="337"/>
      <c r="B3188" s="337"/>
      <c r="C3188" s="1052" t="s">
        <v>2290</v>
      </c>
      <c r="D3188" s="1052"/>
      <c r="E3188" s="1052"/>
      <c r="F3188" s="1052"/>
      <c r="G3188" s="389" t="s">
        <v>55</v>
      </c>
      <c r="H3188" s="469">
        <v>1</v>
      </c>
      <c r="I3188" s="340"/>
      <c r="J3188" s="340"/>
      <c r="K3188" s="340"/>
      <c r="L3188" s="340"/>
      <c r="M3188" s="340"/>
      <c r="N3188" s="340"/>
      <c r="O3188" s="340"/>
    </row>
    <row r="3189" spans="1:15">
      <c r="A3189" s="377" t="str">
        <f>ORÇAMENTO!A716</f>
        <v>MERC04/03</v>
      </c>
      <c r="B3189" s="377" t="str">
        <f>ORÇAMENTO!C716</f>
        <v>4.01.12</v>
      </c>
      <c r="C3189" s="1003" t="str">
        <f>ORÇAMENTO!D716</f>
        <v>SUBWOOFER 8' EMBUTIR</v>
      </c>
      <c r="D3189" s="1003"/>
      <c r="E3189" s="1003"/>
      <c r="F3189" s="1003"/>
      <c r="G3189" s="425" t="str">
        <f>ORÇAMENTO!E716</f>
        <v xml:space="preserve">UN </v>
      </c>
      <c r="H3189" s="383">
        <f>H3190</f>
        <v>2</v>
      </c>
      <c r="I3189" s="380"/>
      <c r="J3189" s="380"/>
      <c r="K3189" s="115"/>
      <c r="L3189" s="115"/>
      <c r="M3189" s="115"/>
      <c r="N3189" s="115"/>
      <c r="O3189" s="116"/>
    </row>
    <row r="3190" spans="1:15" ht="12.75" customHeight="1">
      <c r="A3190" s="342"/>
      <c r="B3190" s="342"/>
      <c r="C3190" s="1034" t="s">
        <v>2291</v>
      </c>
      <c r="D3190" s="1034"/>
      <c r="E3190" s="1034"/>
      <c r="F3190" s="1034"/>
      <c r="G3190" s="343" t="s">
        <v>55</v>
      </c>
      <c r="H3190" s="469">
        <v>2</v>
      </c>
      <c r="I3190" s="340"/>
      <c r="J3190" s="340"/>
      <c r="K3190" s="340"/>
      <c r="L3190" s="340"/>
      <c r="M3190" s="340"/>
      <c r="N3190" s="340"/>
      <c r="O3190" s="340"/>
    </row>
    <row r="3191" spans="1:15">
      <c r="A3191" s="377" t="str">
        <f>ORÇAMENTO!A717</f>
        <v>MERC04/02</v>
      </c>
      <c r="B3191" s="377" t="str">
        <f>ORÇAMENTO!C717</f>
        <v>4.01.13</v>
      </c>
      <c r="C3191" s="1004" t="str">
        <f>ORÇAMENTO!D717</f>
        <v>SENSOR INFRA-VERMELHO DE PRESENÇA PERIMETRAL</v>
      </c>
      <c r="D3191" s="1004"/>
      <c r="E3191" s="1004"/>
      <c r="F3191" s="1004"/>
      <c r="G3191" s="425" t="str">
        <f>ORÇAMENTO!E717</f>
        <v xml:space="preserve">UN </v>
      </c>
      <c r="H3191" s="383">
        <f>H3192</f>
        <v>42</v>
      </c>
      <c r="I3191" s="380"/>
      <c r="J3191" s="380"/>
      <c r="K3191" s="115"/>
      <c r="L3191" s="115"/>
      <c r="M3191" s="115"/>
      <c r="N3191" s="115"/>
      <c r="O3191" s="116"/>
    </row>
    <row r="3192" spans="1:15" s="122" customFormat="1" ht="12.75" customHeight="1">
      <c r="A3192" s="337"/>
      <c r="B3192" s="337"/>
      <c r="C3192" s="1052" t="s">
        <v>2292</v>
      </c>
      <c r="D3192" s="1052"/>
      <c r="E3192" s="1052"/>
      <c r="F3192" s="1052"/>
      <c r="G3192" s="389" t="s">
        <v>55</v>
      </c>
      <c r="H3192" s="469">
        <v>42</v>
      </c>
      <c r="I3192" s="340"/>
      <c r="J3192" s="340"/>
      <c r="K3192" s="340"/>
      <c r="L3192" s="340"/>
      <c r="M3192" s="340"/>
      <c r="N3192" s="340"/>
      <c r="O3192" s="340"/>
    </row>
    <row r="3193" spans="1:15">
      <c r="A3193" s="377">
        <f>ORÇAMENTO!A718</f>
        <v>39611</v>
      </c>
      <c r="B3193" s="377" t="str">
        <f>ORÇAMENTO!C718</f>
        <v>4.01.14</v>
      </c>
      <c r="C3193" s="1003" t="str">
        <f>ORÇAMENTO!D718</f>
        <v>NOBREAK TRIFASICO, DE 20 KVA FATOR DE POTENCIA DE 0,8, AUTONOMIA MINIMA DE 30 MINUTOS A PLENA CARGA</v>
      </c>
      <c r="D3193" s="1003"/>
      <c r="E3193" s="1003"/>
      <c r="F3193" s="1003"/>
      <c r="G3193" s="425" t="str">
        <f>ORÇAMENTO!E718</f>
        <v xml:space="preserve">UN </v>
      </c>
      <c r="H3193" s="383">
        <f>H3194</f>
        <v>1</v>
      </c>
      <c r="I3193" s="380"/>
      <c r="J3193" s="380"/>
      <c r="K3193" s="115"/>
      <c r="L3193" s="115"/>
      <c r="M3193" s="115"/>
      <c r="N3193" s="115"/>
      <c r="O3193" s="116"/>
    </row>
    <row r="3194" spans="1:15" s="122" customFormat="1" ht="12.75" customHeight="1">
      <c r="A3194" s="337"/>
      <c r="B3194" s="337"/>
      <c r="C3194" s="1052" t="s">
        <v>2293</v>
      </c>
      <c r="D3194" s="1052"/>
      <c r="E3194" s="1052"/>
      <c r="F3194" s="1052"/>
      <c r="G3194" s="389" t="s">
        <v>55</v>
      </c>
      <c r="H3194" s="469">
        <v>1</v>
      </c>
      <c r="I3194" s="340"/>
      <c r="J3194" s="340"/>
      <c r="K3194" s="340"/>
      <c r="L3194" s="340"/>
      <c r="M3194" s="340"/>
      <c r="N3194" s="340"/>
      <c r="O3194" s="340"/>
    </row>
    <row r="3195" spans="1:15">
      <c r="A3195" s="377">
        <f>ORÇAMENTO!A719</f>
        <v>13246</v>
      </c>
      <c r="B3195" s="377" t="str">
        <f>ORÇAMENTO!C719</f>
        <v>4.01.15</v>
      </c>
      <c r="C3195" s="1003" t="str">
        <f>ORÇAMENTO!D719</f>
        <v>AMPLIFICADOR DE POTÊNCIA 1300W 4 OHMS - OP 7600 ONEAL OU SIMILAR</v>
      </c>
      <c r="D3195" s="1003"/>
      <c r="E3195" s="1003"/>
      <c r="F3195" s="1003"/>
      <c r="G3195" s="425" t="str">
        <f>ORÇAMENTO!E719</f>
        <v xml:space="preserve">UN </v>
      </c>
      <c r="H3195" s="383">
        <f>H3196</f>
        <v>1</v>
      </c>
      <c r="I3195" s="380"/>
      <c r="J3195" s="380"/>
      <c r="K3195" s="115"/>
      <c r="L3195" s="115"/>
      <c r="M3195" s="115"/>
      <c r="N3195" s="115"/>
      <c r="O3195" s="116"/>
    </row>
    <row r="3196" spans="1:15" ht="12.75" customHeight="1">
      <c r="A3196" s="342"/>
      <c r="B3196" s="342"/>
      <c r="C3196" s="1034" t="s">
        <v>2294</v>
      </c>
      <c r="D3196" s="1034"/>
      <c r="E3196" s="1034"/>
      <c r="F3196" s="1034"/>
      <c r="G3196" s="343" t="s">
        <v>55</v>
      </c>
      <c r="H3196" s="469">
        <v>1</v>
      </c>
      <c r="I3196" s="340"/>
      <c r="J3196" s="340"/>
      <c r="K3196" s="340"/>
      <c r="L3196" s="340"/>
      <c r="M3196" s="340"/>
      <c r="N3196" s="340"/>
      <c r="O3196" s="340"/>
    </row>
    <row r="3197" spans="1:15">
      <c r="A3197" s="377">
        <f>ORÇAMENTO!A720</f>
        <v>12397</v>
      </c>
      <c r="B3197" s="377" t="str">
        <f>ORÇAMENTO!C720</f>
        <v>4.01.16</v>
      </c>
      <c r="C3197" s="1003" t="str">
        <f>ORÇAMENTO!D720</f>
        <v>MESA DE SOM / MIXER 5 CANAIS C/ USB OMX 52 - ONEAL OU SIMILAR</v>
      </c>
      <c r="D3197" s="1003"/>
      <c r="E3197" s="1003"/>
      <c r="F3197" s="1003"/>
      <c r="G3197" s="425" t="str">
        <f>ORÇAMENTO!E720</f>
        <v xml:space="preserve">UN </v>
      </c>
      <c r="H3197" s="383">
        <f>H3198</f>
        <v>1</v>
      </c>
      <c r="I3197" s="380"/>
      <c r="J3197" s="380"/>
      <c r="K3197" s="115"/>
      <c r="L3197" s="115"/>
      <c r="M3197" s="115"/>
      <c r="N3197" s="115"/>
      <c r="O3197" s="116"/>
    </row>
    <row r="3198" spans="1:15" ht="12.75" customHeight="1">
      <c r="A3198" s="342"/>
      <c r="B3198" s="342"/>
      <c r="C3198" s="1034" t="s">
        <v>2295</v>
      </c>
      <c r="D3198" s="1034"/>
      <c r="E3198" s="1034"/>
      <c r="F3198" s="1034"/>
      <c r="G3198" s="343" t="s">
        <v>55</v>
      </c>
      <c r="H3198" s="469">
        <v>1</v>
      </c>
      <c r="I3198" s="340"/>
      <c r="J3198" s="340"/>
      <c r="K3198" s="340"/>
      <c r="L3198" s="340"/>
      <c r="M3198" s="340"/>
      <c r="N3198" s="340"/>
      <c r="O3198" s="340"/>
    </row>
    <row r="3199" spans="1:15">
      <c r="A3199" s="377" t="str">
        <f>ORÇAMENTO!A721</f>
        <v>MERC04/07</v>
      </c>
      <c r="B3199" s="377" t="str">
        <f>ORÇAMENTO!C721</f>
        <v>4.01.17</v>
      </c>
      <c r="C3199" s="1003" t="str">
        <f>ORÇAMENTO!D721</f>
        <v>MICROFONE S/FIO DUPLO PRO BASS UHF</v>
      </c>
      <c r="D3199" s="1003"/>
      <c r="E3199" s="1003"/>
      <c r="F3199" s="1003"/>
      <c r="G3199" s="425" t="str">
        <f>ORÇAMENTO!E721</f>
        <v xml:space="preserve">UN </v>
      </c>
      <c r="H3199" s="383">
        <f>H3200</f>
        <v>2</v>
      </c>
      <c r="I3199" s="380"/>
      <c r="J3199" s="380"/>
      <c r="K3199" s="115"/>
      <c r="L3199" s="115"/>
      <c r="M3199" s="115"/>
      <c r="N3199" s="115"/>
      <c r="O3199" s="116"/>
    </row>
    <row r="3200" spans="1:15" ht="12.75" customHeight="1">
      <c r="A3200" s="342"/>
      <c r="B3200" s="342"/>
      <c r="C3200" s="1034" t="s">
        <v>2296</v>
      </c>
      <c r="D3200" s="1034"/>
      <c r="E3200" s="1034"/>
      <c r="F3200" s="1034"/>
      <c r="G3200" s="343" t="s">
        <v>55</v>
      </c>
      <c r="H3200" s="469">
        <v>2</v>
      </c>
      <c r="I3200" s="340"/>
      <c r="J3200" s="340"/>
      <c r="K3200" s="340"/>
      <c r="L3200" s="340"/>
      <c r="M3200" s="340"/>
      <c r="N3200" s="340"/>
      <c r="O3200" s="340"/>
    </row>
    <row r="3201" spans="1:15" ht="26.25" customHeight="1">
      <c r="A3201" s="377">
        <f>ORÇAMENTO!A722</f>
        <v>13458</v>
      </c>
      <c r="B3201" s="377" t="str">
        <f>ORÇAMENTO!C722</f>
        <v>4.01.18</v>
      </c>
      <c r="C3201" s="1003" t="str">
        <f>ORÇAMENTO!D722</f>
        <v>ATENUADOR DE VOLUME ROTATIVO COM 12 POSIÇÕES, POTÊNCIA MÁXIMA 80W, REF. VCS 80, DA LOUD OU SIMILAR</v>
      </c>
      <c r="D3201" s="1003"/>
      <c r="E3201" s="1003"/>
      <c r="F3201" s="1003"/>
      <c r="G3201" s="425" t="str">
        <f>ORÇAMENTO!E722</f>
        <v xml:space="preserve">UN </v>
      </c>
      <c r="H3201" s="383">
        <f>H3202</f>
        <v>1</v>
      </c>
      <c r="I3201" s="380"/>
      <c r="J3201" s="380"/>
      <c r="K3201" s="115"/>
      <c r="L3201" s="115"/>
      <c r="M3201" s="115"/>
      <c r="N3201" s="115"/>
      <c r="O3201" s="116"/>
    </row>
    <row r="3202" spans="1:15" ht="12.75" customHeight="1">
      <c r="A3202" s="342"/>
      <c r="B3202" s="342"/>
      <c r="C3202" s="1034" t="s">
        <v>2297</v>
      </c>
      <c r="D3202" s="1034"/>
      <c r="E3202" s="1034"/>
      <c r="F3202" s="1034"/>
      <c r="G3202" s="343" t="s">
        <v>55</v>
      </c>
      <c r="H3202" s="469">
        <v>1</v>
      </c>
      <c r="I3202" s="340"/>
      <c r="J3202" s="340"/>
      <c r="K3202" s="340"/>
      <c r="L3202" s="340"/>
      <c r="M3202" s="340"/>
      <c r="N3202" s="340"/>
      <c r="O3202" s="340"/>
    </row>
    <row r="3203" spans="1:15">
      <c r="A3203" s="377" t="str">
        <f>ORÇAMENTO!A723</f>
        <v>MERC04/09</v>
      </c>
      <c r="B3203" s="377" t="str">
        <f>ORÇAMENTO!C723</f>
        <v>4.01.19</v>
      </c>
      <c r="C3203" s="1003" t="str">
        <f>ORÇAMENTO!D723</f>
        <v>MICROFONE C/ FIO PRO BASS</v>
      </c>
      <c r="D3203" s="1003"/>
      <c r="E3203" s="1003"/>
      <c r="F3203" s="1003"/>
      <c r="G3203" s="425" t="str">
        <f>ORÇAMENTO!E723</f>
        <v xml:space="preserve">UN </v>
      </c>
      <c r="H3203" s="383">
        <f>H3204</f>
        <v>1</v>
      </c>
      <c r="I3203" s="380"/>
      <c r="J3203" s="380"/>
      <c r="K3203" s="115"/>
      <c r="L3203" s="115"/>
      <c r="M3203" s="115"/>
      <c r="N3203" s="115"/>
      <c r="O3203" s="116"/>
    </row>
    <row r="3204" spans="1:15" ht="12.75" customHeight="1">
      <c r="A3204" s="342"/>
      <c r="B3204" s="342"/>
      <c r="C3204" s="1034" t="s">
        <v>2298</v>
      </c>
      <c r="D3204" s="1034"/>
      <c r="E3204" s="1034"/>
      <c r="F3204" s="1034"/>
      <c r="G3204" s="343" t="s">
        <v>55</v>
      </c>
      <c r="H3204" s="469">
        <v>1</v>
      </c>
      <c r="I3204" s="340"/>
      <c r="J3204" s="340"/>
      <c r="K3204" s="340"/>
      <c r="L3204" s="340"/>
      <c r="M3204" s="340"/>
      <c r="N3204" s="340"/>
      <c r="O3204" s="340"/>
    </row>
    <row r="3205" spans="1:15">
      <c r="A3205" s="377" t="str">
        <f>ORÇAMENTO!A724</f>
        <v>MERC04/10</v>
      </c>
      <c r="B3205" s="377" t="str">
        <f>ORÇAMENTO!C724</f>
        <v>4.01.20</v>
      </c>
      <c r="C3205" s="1003" t="str">
        <f>ORÇAMENTO!D724</f>
        <v>CABO 2P10 X 2P10 MONO GOD 1.8M MXT</v>
      </c>
      <c r="D3205" s="1003"/>
      <c r="E3205" s="1003"/>
      <c r="F3205" s="1003"/>
      <c r="G3205" s="425" t="str">
        <f>ORÇAMENTO!E724</f>
        <v xml:space="preserve">UN </v>
      </c>
      <c r="H3205" s="383">
        <f>H3206</f>
        <v>2</v>
      </c>
      <c r="I3205" s="380"/>
      <c r="J3205" s="380"/>
      <c r="K3205" s="115"/>
      <c r="L3205" s="115"/>
      <c r="M3205" s="115"/>
      <c r="N3205" s="115"/>
      <c r="O3205" s="116"/>
    </row>
    <row r="3206" spans="1:15" ht="12.75" customHeight="1">
      <c r="A3206" s="342"/>
      <c r="B3206" s="342"/>
      <c r="C3206" s="1034" t="s">
        <v>2299</v>
      </c>
      <c r="D3206" s="1034"/>
      <c r="E3206" s="1034"/>
      <c r="F3206" s="1034"/>
      <c r="G3206" s="343" t="s">
        <v>55</v>
      </c>
      <c r="H3206" s="469">
        <v>2</v>
      </c>
      <c r="I3206" s="340"/>
      <c r="J3206" s="340"/>
      <c r="K3206" s="340"/>
      <c r="L3206" s="340"/>
      <c r="M3206" s="340"/>
      <c r="N3206" s="340"/>
      <c r="O3206" s="340"/>
    </row>
    <row r="3207" spans="1:15">
      <c r="A3207" s="376"/>
      <c r="B3207" s="376" t="str">
        <f>ORÇAMENTO!C725</f>
        <v>4.02</v>
      </c>
      <c r="C3207" s="1008" t="str">
        <f>ORÇAMENTO!D725</f>
        <v>SISTEMAS DE SEGURANÇA E INCÊNDIO</v>
      </c>
      <c r="D3207" s="1008"/>
      <c r="E3207" s="1008"/>
      <c r="F3207" s="1008"/>
      <c r="G3207" s="1039"/>
      <c r="H3207" s="1039"/>
      <c r="I3207" s="1039"/>
      <c r="J3207" s="1039"/>
      <c r="K3207" s="1039"/>
      <c r="L3207" s="1039"/>
      <c r="M3207" s="1039"/>
      <c r="N3207" s="1039"/>
      <c r="O3207" s="1039"/>
    </row>
    <row r="3208" spans="1:15">
      <c r="A3208" s="377" t="str">
        <f>ORÇAMENTO!A726</f>
        <v>MERC04/17</v>
      </c>
      <c r="B3208" s="377" t="str">
        <f>ORÇAMENTO!C726</f>
        <v>4.02.01</v>
      </c>
      <c r="C3208" s="1003" t="str">
        <f>ORÇAMENTO!D726</f>
        <v>BOMBA DE INCÊNDIO 3CV</v>
      </c>
      <c r="D3208" s="1003"/>
      <c r="E3208" s="1003"/>
      <c r="F3208" s="1003"/>
      <c r="G3208" s="425" t="str">
        <f>ORÇAMENTO!E726</f>
        <v xml:space="preserve">UN </v>
      </c>
      <c r="H3208" s="383">
        <f>H3209</f>
        <v>1</v>
      </c>
      <c r="I3208" s="380"/>
      <c r="J3208" s="380"/>
      <c r="K3208" s="115"/>
      <c r="L3208" s="115"/>
      <c r="M3208" s="115"/>
      <c r="N3208" s="115"/>
      <c r="O3208" s="116"/>
    </row>
    <row r="3209" spans="1:15">
      <c r="A3209" s="376"/>
      <c r="B3209" s="376"/>
      <c r="C3209" s="1034" t="s">
        <v>2300</v>
      </c>
      <c r="D3209" s="1034"/>
      <c r="E3209" s="1034"/>
      <c r="F3209" s="1034"/>
      <c r="G3209" s="343" t="s">
        <v>55</v>
      </c>
      <c r="H3209" s="110">
        <v>1</v>
      </c>
      <c r="I3209" s="110"/>
      <c r="J3209" s="110"/>
      <c r="K3209" s="110"/>
      <c r="L3209" s="110"/>
      <c r="M3209" s="110"/>
      <c r="N3209" s="110"/>
      <c r="O3209" s="111"/>
    </row>
    <row r="3210" spans="1:15" ht="19.5" customHeight="1">
      <c r="A3210" s="376"/>
      <c r="B3210" s="376" t="str">
        <f>ORÇAMENTO!C727</f>
        <v>5.00</v>
      </c>
      <c r="C3210" s="1051" t="str">
        <f>ORÇAMENTO!D727</f>
        <v>SUBESTAÇÃO</v>
      </c>
      <c r="D3210" s="1051"/>
      <c r="E3210" s="1051"/>
      <c r="F3210" s="1051"/>
      <c r="G3210" s="483"/>
      <c r="H3210" s="155"/>
      <c r="I3210" s="155"/>
      <c r="J3210" s="155"/>
      <c r="K3210" s="155"/>
      <c r="L3210" s="155"/>
      <c r="M3210" s="155"/>
      <c r="N3210" s="155"/>
      <c r="O3210" s="156"/>
    </row>
    <row r="3211" spans="1:15" ht="33" customHeight="1">
      <c r="A3211" s="377" t="str">
        <f>ORÇAMENTO!A728</f>
        <v>I10823</v>
      </c>
      <c r="B3211" s="377" t="str">
        <f>ORÇAMENTO!C728</f>
        <v>5.01</v>
      </c>
      <c r="C3211" s="1004" t="str">
        <f>ORÇAMENTO!D728</f>
        <v>TRANSFORMADOR TRIFÁSICO C/ DERIV 112,5 KVA, AT 13800V, BT 380/220V PADRÃO ENERGISA</v>
      </c>
      <c r="D3211" s="1004"/>
      <c r="E3211" s="1004"/>
      <c r="F3211" s="1004"/>
      <c r="G3211" s="425" t="str">
        <f>ORÇAMENTO!E728</f>
        <v xml:space="preserve">UN </v>
      </c>
      <c r="H3211" s="383">
        <f>H3212</f>
        <v>1</v>
      </c>
      <c r="I3211" s="380"/>
      <c r="J3211" s="380"/>
      <c r="K3211" s="115"/>
      <c r="L3211" s="115"/>
      <c r="M3211" s="115"/>
      <c r="N3211" s="115"/>
      <c r="O3211" s="116"/>
    </row>
    <row r="3212" spans="1:15" ht="14.25" customHeight="1">
      <c r="A3212" s="342"/>
      <c r="B3212" s="342"/>
      <c r="C3212" s="1024" t="s">
        <v>2301</v>
      </c>
      <c r="D3212" s="1024"/>
      <c r="E3212" s="1024"/>
      <c r="F3212" s="1024"/>
      <c r="G3212" s="343" t="s">
        <v>55</v>
      </c>
      <c r="H3212" s="469">
        <v>1</v>
      </c>
      <c r="I3212" s="340"/>
      <c r="J3212" s="340"/>
      <c r="K3212" s="340"/>
      <c r="L3212" s="340"/>
      <c r="M3212" s="340"/>
      <c r="N3212" s="340"/>
      <c r="O3212" s="340"/>
    </row>
  </sheetData>
  <sheetProtection password="8D0B" sheet="1" objects="1" scenarios="1" selectLockedCells="1" selectUnlockedCells="1"/>
  <mergeCells count="3259">
    <mergeCell ref="C2470:F2470"/>
    <mergeCell ref="C2471:F2471"/>
    <mergeCell ref="C2472:F2472"/>
    <mergeCell ref="C2473:F2473"/>
    <mergeCell ref="C1129:F1129"/>
    <mergeCell ref="C1130:F1130"/>
    <mergeCell ref="C1131:F1131"/>
    <mergeCell ref="C1132:F1132"/>
    <mergeCell ref="C1133:F1133"/>
    <mergeCell ref="C142:F142"/>
    <mergeCell ref="C134:F134"/>
    <mergeCell ref="C2552:F2552"/>
    <mergeCell ref="C2553:F2553"/>
    <mergeCell ref="C242:F242"/>
    <mergeCell ref="C265:F265"/>
    <mergeCell ref="C1323:F1323"/>
    <mergeCell ref="C1324:F1324"/>
    <mergeCell ref="C2949:F2949"/>
    <mergeCell ref="C2950:F2950"/>
    <mergeCell ref="C2924:F2924"/>
    <mergeCell ref="C2925:F2925"/>
    <mergeCell ref="C2926:F2926"/>
    <mergeCell ref="C2927:F2927"/>
    <mergeCell ref="C2928:F2928"/>
    <mergeCell ref="C2929:F2929"/>
    <mergeCell ref="C2930:F2930"/>
    <mergeCell ref="C2938:F2938"/>
    <mergeCell ref="C2939:F2939"/>
    <mergeCell ref="C2940:F2940"/>
    <mergeCell ref="C2941:F2941"/>
    <mergeCell ref="C2942:F2942"/>
    <mergeCell ref="C2653:F2653"/>
    <mergeCell ref="C2468:F2468"/>
    <mergeCell ref="C2469:F2469"/>
    <mergeCell ref="C1261:F1261"/>
    <mergeCell ref="C1263:F1263"/>
    <mergeCell ref="C2913:F2913"/>
    <mergeCell ref="C2914:F2914"/>
    <mergeCell ref="C2915:F2915"/>
    <mergeCell ref="C2916:F2916"/>
    <mergeCell ref="C2917:F2917"/>
    <mergeCell ref="C2299:F2299"/>
    <mergeCell ref="C1255:F1255"/>
    <mergeCell ref="C1305:F1305"/>
    <mergeCell ref="C1306:F1306"/>
    <mergeCell ref="C1307:F1307"/>
    <mergeCell ref="C2283:F2283"/>
    <mergeCell ref="C2284:F2284"/>
    <mergeCell ref="C2285:F2285"/>
    <mergeCell ref="C2286:F2286"/>
    <mergeCell ref="C2287:F2287"/>
    <mergeCell ref="C1988:F1988"/>
    <mergeCell ref="C1989:F1989"/>
    <mergeCell ref="C1729:F1729"/>
    <mergeCell ref="C2289:F2289"/>
    <mergeCell ref="C2290:F2290"/>
    <mergeCell ref="C1930:F1930"/>
    <mergeCell ref="C1334:F1334"/>
    <mergeCell ref="C1328:F1328"/>
    <mergeCell ref="C1297:F1297"/>
    <mergeCell ref="C1311:F1311"/>
    <mergeCell ref="C1313:F1313"/>
    <mergeCell ref="C2291:F2291"/>
    <mergeCell ref="C2292:F2292"/>
    <mergeCell ref="C2432:F2432"/>
    <mergeCell ref="C2701:F2701"/>
    <mergeCell ref="C2474:F2474"/>
    <mergeCell ref="C2475:F2475"/>
    <mergeCell ref="C2476:F2476"/>
    <mergeCell ref="C2477:F2477"/>
    <mergeCell ref="C2478:F2478"/>
    <mergeCell ref="C2479:F2479"/>
    <mergeCell ref="C1262:F1262"/>
    <mergeCell ref="C1276:F1276"/>
    <mergeCell ref="C1272:F1272"/>
    <mergeCell ref="C1273:F1273"/>
    <mergeCell ref="C1291:F1291"/>
    <mergeCell ref="C1292:F1292"/>
    <mergeCell ref="C1293:F1293"/>
    <mergeCell ref="C2481:F2481"/>
    <mergeCell ref="C1299:F1299"/>
    <mergeCell ref="C1298:F1298"/>
    <mergeCell ref="C1300:F1300"/>
    <mergeCell ref="C1265:F1265"/>
    <mergeCell ref="C1266:F1266"/>
    <mergeCell ref="C2293:F2293"/>
    <mergeCell ref="C2294:F2294"/>
    <mergeCell ref="C1986:F1986"/>
    <mergeCell ref="C1987:F1987"/>
    <mergeCell ref="C1665:F1665"/>
    <mergeCell ref="C1692:F1692"/>
    <mergeCell ref="C1703:F1703"/>
    <mergeCell ref="C1704:F1704"/>
    <mergeCell ref="C1746:F1746"/>
    <mergeCell ref="C1688:F1688"/>
    <mergeCell ref="C1314:F1314"/>
    <mergeCell ref="C1315:F1315"/>
    <mergeCell ref="C1316:F1316"/>
    <mergeCell ref="C986:F986"/>
    <mergeCell ref="C987:F987"/>
    <mergeCell ref="C988:F988"/>
    <mergeCell ref="C1398:F1398"/>
    <mergeCell ref="C1399:F1399"/>
    <mergeCell ref="C1370:F1370"/>
    <mergeCell ref="C1371:F1371"/>
    <mergeCell ref="C1372:F1372"/>
    <mergeCell ref="C1373:F1373"/>
    <mergeCell ref="C1374:F1374"/>
    <mergeCell ref="C1309:F1309"/>
    <mergeCell ref="C1376:F1376"/>
    <mergeCell ref="C1312:F1312"/>
    <mergeCell ref="C1390:F1390"/>
    <mergeCell ref="C1377:F1377"/>
    <mergeCell ref="C1387:F1387"/>
    <mergeCell ref="C1049:F1049"/>
    <mergeCell ref="C1050:F1050"/>
    <mergeCell ref="C1051:F1051"/>
    <mergeCell ref="C1052:F1052"/>
    <mergeCell ref="C1053:F1053"/>
    <mergeCell ref="C1054:F1054"/>
    <mergeCell ref="C1055:F1055"/>
    <mergeCell ref="C1056:F1056"/>
    <mergeCell ref="C1057:F1057"/>
    <mergeCell ref="C1058:F1058"/>
    <mergeCell ref="C1230:F1230"/>
    <mergeCell ref="C1231:F1231"/>
    <mergeCell ref="C1232:F1232"/>
    <mergeCell ref="C1233:F1233"/>
    <mergeCell ref="C1234:F1234"/>
    <mergeCell ref="C1235:F1235"/>
    <mergeCell ref="C2295:F2295"/>
    <mergeCell ref="C1321:F1321"/>
    <mergeCell ref="C1322:F1322"/>
    <mergeCell ref="C1730:F1730"/>
    <mergeCell ref="C1731:F1731"/>
    <mergeCell ref="C1732:F1732"/>
    <mergeCell ref="C1712:F1712"/>
    <mergeCell ref="C1375:F1375"/>
    <mergeCell ref="C1682:F1682"/>
    <mergeCell ref="C1683:F1683"/>
    <mergeCell ref="C1684:F1684"/>
    <mergeCell ref="C1681:F1681"/>
    <mergeCell ref="C1551:F1551"/>
    <mergeCell ref="C1552:F1552"/>
    <mergeCell ref="C1536:F1536"/>
    <mergeCell ref="C1463:F1463"/>
    <mergeCell ref="C2770:F2770"/>
    <mergeCell ref="C1559:F1559"/>
    <mergeCell ref="C1982:F1982"/>
    <mergeCell ref="C1984:F1984"/>
    <mergeCell ref="C1983:F1983"/>
    <mergeCell ref="C1985:F1985"/>
    <mergeCell ref="C1914:F1914"/>
    <mergeCell ref="C1915:F1915"/>
    <mergeCell ref="C1916:F1916"/>
    <mergeCell ref="C1917:F1917"/>
    <mergeCell ref="C1918:F1918"/>
    <mergeCell ref="C1919:F1919"/>
    <mergeCell ref="C1920:F1920"/>
    <mergeCell ref="C1921:F1921"/>
    <mergeCell ref="C1922:F1922"/>
    <mergeCell ref="C1923:F1923"/>
    <mergeCell ref="C1924:F1924"/>
    <mergeCell ref="C1925:F1925"/>
    <mergeCell ref="C1926:F1926"/>
    <mergeCell ref="C1927:F1927"/>
    <mergeCell ref="C1929:F1929"/>
    <mergeCell ref="C2501:F2501"/>
    <mergeCell ref="C2502:F2502"/>
    <mergeCell ref="C2503:F2503"/>
    <mergeCell ref="C2504:F2504"/>
    <mergeCell ref="C2296:F2296"/>
    <mergeCell ref="C2297:F2297"/>
    <mergeCell ref="C2298:F2298"/>
    <mergeCell ref="C2480:F2480"/>
    <mergeCell ref="C1034:F1034"/>
    <mergeCell ref="C1035:F1035"/>
    <mergeCell ref="C1036:F1036"/>
    <mergeCell ref="C1037:F1037"/>
    <mergeCell ref="C1038:F1038"/>
    <mergeCell ref="C1039:F1039"/>
    <mergeCell ref="C1040:F1040"/>
    <mergeCell ref="C1043:F1043"/>
    <mergeCell ref="C1044:F1044"/>
    <mergeCell ref="C1048:F1048"/>
    <mergeCell ref="C1088:F1088"/>
    <mergeCell ref="C1135:F1135"/>
    <mergeCell ref="C1194:F1194"/>
    <mergeCell ref="C1198:F1198"/>
    <mergeCell ref="C1207:F1207"/>
    <mergeCell ref="C1200:F1200"/>
    <mergeCell ref="C1201:F1201"/>
    <mergeCell ref="C1045:F1045"/>
    <mergeCell ref="C1042:F1042"/>
    <mergeCell ref="G854:O854"/>
    <mergeCell ref="C1659:F1659"/>
    <mergeCell ref="C1660:F1660"/>
    <mergeCell ref="C1661:F1661"/>
    <mergeCell ref="C1662:F1662"/>
    <mergeCell ref="C1584:F1584"/>
    <mergeCell ref="C1585:F1585"/>
    <mergeCell ref="C1645:F1645"/>
    <mergeCell ref="C1657:F1657"/>
    <mergeCell ref="C1658:F1658"/>
    <mergeCell ref="C966:F966"/>
    <mergeCell ref="C967:F967"/>
    <mergeCell ref="C968:F968"/>
    <mergeCell ref="C969:F969"/>
    <mergeCell ref="C970:F970"/>
    <mergeCell ref="C971:F971"/>
    <mergeCell ref="C960:F960"/>
    <mergeCell ref="C964:F964"/>
    <mergeCell ref="C857:F857"/>
    <mergeCell ref="C858:F858"/>
    <mergeCell ref="C859:F859"/>
    <mergeCell ref="C860:F860"/>
    <mergeCell ref="C861:F861"/>
    <mergeCell ref="C862:F862"/>
    <mergeCell ref="C863:F863"/>
    <mergeCell ref="C864:F864"/>
    <mergeCell ref="C865:F865"/>
    <mergeCell ref="C866:F866"/>
    <mergeCell ref="C867:F867"/>
    <mergeCell ref="C1317:F1317"/>
    <mergeCell ref="C1318:F1318"/>
    <mergeCell ref="C1325:F1325"/>
    <mergeCell ref="C133:F133"/>
    <mergeCell ref="C120:F120"/>
    <mergeCell ref="C162:F162"/>
    <mergeCell ref="C168:F168"/>
    <mergeCell ref="C1610:F1610"/>
    <mergeCell ref="C1611:F1611"/>
    <mergeCell ref="C1612:F1612"/>
    <mergeCell ref="C136:F136"/>
    <mergeCell ref="C137:F137"/>
    <mergeCell ref="C138:F138"/>
    <mergeCell ref="C129:F129"/>
    <mergeCell ref="C130:F130"/>
    <mergeCell ref="C158:F158"/>
    <mergeCell ref="C161:F161"/>
    <mergeCell ref="C150:F150"/>
    <mergeCell ref="C515:F515"/>
    <mergeCell ref="C516:F516"/>
    <mergeCell ref="C517:F517"/>
    <mergeCell ref="C518:F518"/>
    <mergeCell ref="C519:F519"/>
    <mergeCell ref="C520:F520"/>
    <mergeCell ref="C521:F521"/>
    <mergeCell ref="C522:F522"/>
    <mergeCell ref="C523:F523"/>
    <mergeCell ref="C524:F524"/>
    <mergeCell ref="C526:F526"/>
    <mergeCell ref="C951:F951"/>
    <mergeCell ref="C541:F541"/>
    <mergeCell ref="C542:F542"/>
    <mergeCell ref="C1059:F1059"/>
    <mergeCell ref="C1060:F1060"/>
    <mergeCell ref="C1061:F1061"/>
    <mergeCell ref="C1635:F1635"/>
    <mergeCell ref="C1636:F1636"/>
    <mergeCell ref="C1637:F1637"/>
    <mergeCell ref="C1638:F1638"/>
    <mergeCell ref="C1639:F1639"/>
    <mergeCell ref="C1640:F1640"/>
    <mergeCell ref="C1641:F1641"/>
    <mergeCell ref="C1062:F1062"/>
    <mergeCell ref="C1063:F1063"/>
    <mergeCell ref="C1092:F1092"/>
    <mergeCell ref="C1093:F1093"/>
    <mergeCell ref="C1077:F1077"/>
    <mergeCell ref="C1078:F1078"/>
    <mergeCell ref="C1079:F1079"/>
    <mergeCell ref="C1080:F1080"/>
    <mergeCell ref="C1081:F1081"/>
    <mergeCell ref="C1082:F1082"/>
    <mergeCell ref="C1083:F1083"/>
    <mergeCell ref="C1084:F1084"/>
    <mergeCell ref="C1085:F1085"/>
    <mergeCell ref="C1086:F1086"/>
    <mergeCell ref="C1326:F1326"/>
    <mergeCell ref="C1341:F1341"/>
    <mergeCell ref="C1342:F1342"/>
    <mergeCell ref="C1236:F1236"/>
    <mergeCell ref="C1237:F1237"/>
    <mergeCell ref="C1238:F1238"/>
    <mergeCell ref="C1244:F1244"/>
    <mergeCell ref="C1245:F1245"/>
    <mergeCell ref="C1246:F1246"/>
    <mergeCell ref="C1247:F1247"/>
    <mergeCell ref="C1296:F1296"/>
    <mergeCell ref="C98:F98"/>
    <mergeCell ref="C109:F109"/>
    <mergeCell ref="C139:F139"/>
    <mergeCell ref="C116:F116"/>
    <mergeCell ref="C121:F121"/>
    <mergeCell ref="C123:F123"/>
    <mergeCell ref="C125:F125"/>
    <mergeCell ref="C146:F146"/>
    <mergeCell ref="C147:F147"/>
    <mergeCell ref="C148:F148"/>
    <mergeCell ref="C155:F155"/>
    <mergeCell ref="C108:F108"/>
    <mergeCell ref="C110:F110"/>
    <mergeCell ref="C111:F111"/>
    <mergeCell ref="C113:F113"/>
    <mergeCell ref="C114:F114"/>
    <mergeCell ref="C115:F115"/>
    <mergeCell ref="C126:F126"/>
    <mergeCell ref="C127:F127"/>
    <mergeCell ref="C128:F128"/>
    <mergeCell ref="C106:F106"/>
    <mergeCell ref="C107:F107"/>
    <mergeCell ref="C122:F122"/>
    <mergeCell ref="C124:F124"/>
    <mergeCell ref="C119:F119"/>
    <mergeCell ref="C151:F151"/>
    <mergeCell ref="C154:F154"/>
    <mergeCell ref="C102:F102"/>
    <mergeCell ref="C152:F152"/>
    <mergeCell ref="C144:F144"/>
    <mergeCell ref="C145:F145"/>
    <mergeCell ref="C149:F149"/>
    <mergeCell ref="C132:F132"/>
    <mergeCell ref="C131:F131"/>
    <mergeCell ref="C1656:F1656"/>
    <mergeCell ref="C543:F543"/>
    <mergeCell ref="C544:F544"/>
    <mergeCell ref="C545:F545"/>
    <mergeCell ref="C546:F546"/>
    <mergeCell ref="C527:F527"/>
    <mergeCell ref="C528:F528"/>
    <mergeCell ref="C530:F530"/>
    <mergeCell ref="C531:F531"/>
    <mergeCell ref="C532:F532"/>
    <mergeCell ref="C533:F533"/>
    <mergeCell ref="C534:F534"/>
    <mergeCell ref="C535:F535"/>
    <mergeCell ref="C536:F536"/>
    <mergeCell ref="C537:F537"/>
    <mergeCell ref="C538:F538"/>
    <mergeCell ref="C539:F539"/>
    <mergeCell ref="C1630:F1630"/>
    <mergeCell ref="C1631:F1631"/>
    <mergeCell ref="C1642:F1642"/>
    <mergeCell ref="C1614:F1614"/>
    <mergeCell ref="C1644:F1644"/>
    <mergeCell ref="C1592:F1592"/>
    <mergeCell ref="C1591:F1591"/>
    <mergeCell ref="C1389:F1389"/>
    <mergeCell ref="C1134:F1134"/>
    <mergeCell ref="C1046:F1046"/>
    <mergeCell ref="C1632:F1632"/>
    <mergeCell ref="C1633:F1633"/>
    <mergeCell ref="C1634:F1634"/>
    <mergeCell ref="C540:F540"/>
    <mergeCell ref="C568:F568"/>
    <mergeCell ref="C947:F947"/>
    <mergeCell ref="C948:F948"/>
    <mergeCell ref="C949:F949"/>
    <mergeCell ref="C950:F950"/>
    <mergeCell ref="C547:F547"/>
    <mergeCell ref="C548:F548"/>
    <mergeCell ref="C549:F549"/>
    <mergeCell ref="C550:F550"/>
    <mergeCell ref="C551:F551"/>
    <mergeCell ref="C552:F552"/>
    <mergeCell ref="C553:F553"/>
    <mergeCell ref="C554:F554"/>
    <mergeCell ref="C555:F555"/>
    <mergeCell ref="C556:F556"/>
    <mergeCell ref="C557:F557"/>
    <mergeCell ref="C558:F558"/>
    <mergeCell ref="C559:F559"/>
    <mergeCell ref="C560:F560"/>
    <mergeCell ref="C561:F561"/>
    <mergeCell ref="C562:F562"/>
    <mergeCell ref="C563:F563"/>
    <mergeCell ref="C564:F564"/>
    <mergeCell ref="C569:F569"/>
    <mergeCell ref="C570:F570"/>
    <mergeCell ref="C571:F571"/>
    <mergeCell ref="C572:F572"/>
    <mergeCell ref="C573:F573"/>
    <mergeCell ref="C574:F574"/>
    <mergeCell ref="C575:F575"/>
    <mergeCell ref="C576:F576"/>
    <mergeCell ref="C316:F316"/>
    <mergeCell ref="C474:F474"/>
    <mergeCell ref="C459:F459"/>
    <mergeCell ref="C327:F327"/>
    <mergeCell ref="C330:F330"/>
    <mergeCell ref="C511:F511"/>
    <mergeCell ref="C491:F491"/>
    <mergeCell ref="C376:F376"/>
    <mergeCell ref="C356:F356"/>
    <mergeCell ref="C357:F357"/>
    <mergeCell ref="C318:F318"/>
    <mergeCell ref="C319:F319"/>
    <mergeCell ref="C340:F340"/>
    <mergeCell ref="C355:F355"/>
    <mergeCell ref="C334:F334"/>
    <mergeCell ref="C335:F335"/>
    <mergeCell ref="C336:F336"/>
    <mergeCell ref="C337:F337"/>
    <mergeCell ref="C320:F320"/>
    <mergeCell ref="C321:F321"/>
    <mergeCell ref="C322:F322"/>
    <mergeCell ref="C323:F323"/>
    <mergeCell ref="C324:F324"/>
    <mergeCell ref="C325:F325"/>
    <mergeCell ref="C350:F350"/>
    <mergeCell ref="C341:F341"/>
    <mergeCell ref="C342:F342"/>
    <mergeCell ref="C351:F351"/>
    <mergeCell ref="C373:F373"/>
    <mergeCell ref="C374:F374"/>
    <mergeCell ref="C375:F375"/>
    <mergeCell ref="C512:F512"/>
    <mergeCell ref="C513:F513"/>
    <mergeCell ref="C514:F514"/>
    <mergeCell ref="C275:F275"/>
    <mergeCell ref="C331:F331"/>
    <mergeCell ref="C332:F332"/>
    <mergeCell ref="C333:F333"/>
    <mergeCell ref="C1025:F1025"/>
    <mergeCell ref="C1021:F1021"/>
    <mergeCell ref="C1022:F1022"/>
    <mergeCell ref="C1023:F1023"/>
    <mergeCell ref="C1024:F1024"/>
    <mergeCell ref="C1001:F1001"/>
    <mergeCell ref="C1002:F1002"/>
    <mergeCell ref="C1003:F1003"/>
    <mergeCell ref="C1004:F1004"/>
    <mergeCell ref="C934:F934"/>
    <mergeCell ref="C974:F974"/>
    <mergeCell ref="C994:F994"/>
    <mergeCell ref="C995:F995"/>
    <mergeCell ref="C996:F996"/>
    <mergeCell ref="C997:F997"/>
    <mergeCell ref="C998:F998"/>
    <mergeCell ref="C952:F952"/>
    <mergeCell ref="C529:F529"/>
    <mergeCell ref="C476:F476"/>
    <mergeCell ref="C477:F477"/>
    <mergeCell ref="C525:F525"/>
    <mergeCell ref="C565:F565"/>
    <mergeCell ref="C566:F566"/>
    <mergeCell ref="C567:F567"/>
    <mergeCell ref="C276:F276"/>
    <mergeCell ref="C317:F317"/>
    <mergeCell ref="C281:F281"/>
    <mergeCell ref="C280:F280"/>
    <mergeCell ref="C302:F302"/>
    <mergeCell ref="C303:F303"/>
    <mergeCell ref="C304:F304"/>
    <mergeCell ref="C307:F307"/>
    <mergeCell ref="C308:F308"/>
    <mergeCell ref="C51:F51"/>
    <mergeCell ref="C63:F63"/>
    <mergeCell ref="C64:F64"/>
    <mergeCell ref="C66:F66"/>
    <mergeCell ref="C65:F65"/>
    <mergeCell ref="C67:F67"/>
    <mergeCell ref="C68:F68"/>
    <mergeCell ref="C199:F199"/>
    <mergeCell ref="C212:F212"/>
    <mergeCell ref="C213:F213"/>
    <mergeCell ref="C269:F269"/>
    <mergeCell ref="C270:F270"/>
    <mergeCell ref="C313:F313"/>
    <mergeCell ref="C272:F272"/>
    <mergeCell ref="C273:F273"/>
    <mergeCell ref="C274:F274"/>
    <mergeCell ref="C305:F305"/>
    <mergeCell ref="C306:F306"/>
    <mergeCell ref="C309:F309"/>
    <mergeCell ref="C310:F310"/>
    <mergeCell ref="C311:F311"/>
    <mergeCell ref="C312:F312"/>
    <mergeCell ref="C314:F314"/>
    <mergeCell ref="C315:F315"/>
    <mergeCell ref="G267:O267"/>
    <mergeCell ref="C243:F243"/>
    <mergeCell ref="C245:F245"/>
    <mergeCell ref="C219:F219"/>
    <mergeCell ref="C185:F185"/>
    <mergeCell ref="C169:F169"/>
    <mergeCell ref="C135:F135"/>
    <mergeCell ref="C140:F140"/>
    <mergeCell ref="C141:F141"/>
    <mergeCell ref="C170:F170"/>
    <mergeCell ref="C159:F159"/>
    <mergeCell ref="C171:F171"/>
    <mergeCell ref="C172:F172"/>
    <mergeCell ref="C174:F174"/>
    <mergeCell ref="C175:F175"/>
    <mergeCell ref="C176:F176"/>
    <mergeCell ref="C178:F178"/>
    <mergeCell ref="C179:F179"/>
    <mergeCell ref="C180:F180"/>
    <mergeCell ref="C181:F181"/>
    <mergeCell ref="C177:F177"/>
    <mergeCell ref="C173:F173"/>
    <mergeCell ref="C160:F160"/>
    <mergeCell ref="A163:N163"/>
    <mergeCell ref="C164:F164"/>
    <mergeCell ref="C165:F165"/>
    <mergeCell ref="C166:F166"/>
    <mergeCell ref="C143:F143"/>
    <mergeCell ref="C156:F156"/>
    <mergeCell ref="C157:F157"/>
    <mergeCell ref="A153:N153"/>
    <mergeCell ref="C220:F220"/>
    <mergeCell ref="C221:F221"/>
    <mergeCell ref="C222:F222"/>
    <mergeCell ref="C223:F223"/>
    <mergeCell ref="C224:F224"/>
    <mergeCell ref="C225:F225"/>
    <mergeCell ref="C226:F226"/>
    <mergeCell ref="C33:F33"/>
    <mergeCell ref="C34:F34"/>
    <mergeCell ref="C35:F35"/>
    <mergeCell ref="G35:O35"/>
    <mergeCell ref="C36:F36"/>
    <mergeCell ref="C37:F37"/>
    <mergeCell ref="C38:F38"/>
    <mergeCell ref="C76:F76"/>
    <mergeCell ref="C77:F77"/>
    <mergeCell ref="C78:F78"/>
    <mergeCell ref="C79:F79"/>
    <mergeCell ref="G213:O213"/>
    <mergeCell ref="C214:F214"/>
    <mergeCell ref="C84:F84"/>
    <mergeCell ref="C90:F90"/>
    <mergeCell ref="C101:F101"/>
    <mergeCell ref="C112:F112"/>
    <mergeCell ref="C117:F117"/>
    <mergeCell ref="C118:F118"/>
    <mergeCell ref="C93:F93"/>
    <mergeCell ref="C94:F94"/>
    <mergeCell ref="C99:F99"/>
    <mergeCell ref="C100:F100"/>
    <mergeCell ref="C103:F103"/>
    <mergeCell ref="C104:F104"/>
    <mergeCell ref="C28:F28"/>
    <mergeCell ref="C29:F29"/>
    <mergeCell ref="G29:O29"/>
    <mergeCell ref="C30:F30"/>
    <mergeCell ref="G30:O30"/>
    <mergeCell ref="C31:F31"/>
    <mergeCell ref="C32:F32"/>
    <mergeCell ref="G68:O68"/>
    <mergeCell ref="C69:F69"/>
    <mergeCell ref="C70:F70"/>
    <mergeCell ref="C53:F53"/>
    <mergeCell ref="C55:F55"/>
    <mergeCell ref="C56:F56"/>
    <mergeCell ref="C57:F57"/>
    <mergeCell ref="C58:F58"/>
    <mergeCell ref="C59:F59"/>
    <mergeCell ref="C60:F60"/>
    <mergeCell ref="C39:F39"/>
    <mergeCell ref="C40:F40"/>
    <mergeCell ref="C41:F41"/>
    <mergeCell ref="C42:F42"/>
    <mergeCell ref="G42:O42"/>
    <mergeCell ref="C47:F47"/>
    <mergeCell ref="C48:F48"/>
    <mergeCell ref="C49:F49"/>
    <mergeCell ref="C43:F43"/>
    <mergeCell ref="C44:F44"/>
    <mergeCell ref="C45:F45"/>
    <mergeCell ref="C46:F46"/>
    <mergeCell ref="C54:F54"/>
    <mergeCell ref="B2:O2"/>
    <mergeCell ref="I3:O3"/>
    <mergeCell ref="B4:M4"/>
    <mergeCell ref="N4:O4"/>
    <mergeCell ref="A5:O5"/>
    <mergeCell ref="C6:F6"/>
    <mergeCell ref="C7:F7"/>
    <mergeCell ref="G7:O7"/>
    <mergeCell ref="C8:F8"/>
    <mergeCell ref="C9:F9"/>
    <mergeCell ref="C12:F12"/>
    <mergeCell ref="C13:F13"/>
    <mergeCell ref="C16:F16"/>
    <mergeCell ref="C17:F17"/>
    <mergeCell ref="C18:F18"/>
    <mergeCell ref="C19:F19"/>
    <mergeCell ref="C20:F20"/>
    <mergeCell ref="C10:F10"/>
    <mergeCell ref="C11:F11"/>
    <mergeCell ref="C21:F21"/>
    <mergeCell ref="C22:F22"/>
    <mergeCell ref="C23:F23"/>
    <mergeCell ref="C24:F24"/>
    <mergeCell ref="C25:F25"/>
    <mergeCell ref="C26:F26"/>
    <mergeCell ref="A27:O27"/>
    <mergeCell ref="C50:F50"/>
    <mergeCell ref="C52:F52"/>
    <mergeCell ref="C62:F62"/>
    <mergeCell ref="C182:F182"/>
    <mergeCell ref="C183:F183"/>
    <mergeCell ref="G183:O183"/>
    <mergeCell ref="C184:F184"/>
    <mergeCell ref="G184:O184"/>
    <mergeCell ref="C61:F61"/>
    <mergeCell ref="C71:F71"/>
    <mergeCell ref="C72:F72"/>
    <mergeCell ref="C73:F73"/>
    <mergeCell ref="C74:F74"/>
    <mergeCell ref="C80:F80"/>
    <mergeCell ref="C81:F81"/>
    <mergeCell ref="C82:F82"/>
    <mergeCell ref="C83:F83"/>
    <mergeCell ref="C88:F88"/>
    <mergeCell ref="C89:F89"/>
    <mergeCell ref="C105:F105"/>
    <mergeCell ref="C85:F85"/>
    <mergeCell ref="C86:F86"/>
    <mergeCell ref="C91:F91"/>
    <mergeCell ref="C92:F92"/>
    <mergeCell ref="C75:F75"/>
    <mergeCell ref="C187:F187"/>
    <mergeCell ref="C194:F194"/>
    <mergeCell ref="C196:F196"/>
    <mergeCell ref="C197:F197"/>
    <mergeCell ref="C198:F198"/>
    <mergeCell ref="C195:F195"/>
    <mergeCell ref="C188:F188"/>
    <mergeCell ref="C189:F189"/>
    <mergeCell ref="C190:F190"/>
    <mergeCell ref="C191:F191"/>
    <mergeCell ref="C186:F186"/>
    <mergeCell ref="C192:F192"/>
    <mergeCell ref="C193:F193"/>
    <mergeCell ref="C227:F227"/>
    <mergeCell ref="C228:F228"/>
    <mergeCell ref="C248:F248"/>
    <mergeCell ref="C215:F215"/>
    <mergeCell ref="C216:F216"/>
    <mergeCell ref="C217:F217"/>
    <mergeCell ref="C218:F218"/>
    <mergeCell ref="C200:F200"/>
    <mergeCell ref="C201:F201"/>
    <mergeCell ref="C231:F231"/>
    <mergeCell ref="C232:F232"/>
    <mergeCell ref="C233:F233"/>
    <mergeCell ref="C229:F229"/>
    <mergeCell ref="C230:F230"/>
    <mergeCell ref="C234:F234"/>
    <mergeCell ref="C235:F235"/>
    <mergeCell ref="C236:F236"/>
    <mergeCell ref="C237:F237"/>
    <mergeCell ref="C238:F238"/>
    <mergeCell ref="C239:F239"/>
    <mergeCell ref="C240:F240"/>
    <mergeCell ref="C295:F295"/>
    <mergeCell ref="C296:F296"/>
    <mergeCell ref="C297:F297"/>
    <mergeCell ref="C298:F298"/>
    <mergeCell ref="C253:F253"/>
    <mergeCell ref="C255:F255"/>
    <mergeCell ref="C256:F256"/>
    <mergeCell ref="C257:F257"/>
    <mergeCell ref="C258:F258"/>
    <mergeCell ref="C259:F259"/>
    <mergeCell ref="C260:F260"/>
    <mergeCell ref="C261:F261"/>
    <mergeCell ref="C262:F262"/>
    <mergeCell ref="C263:F263"/>
    <mergeCell ref="C264:F264"/>
    <mergeCell ref="C254:F254"/>
    <mergeCell ref="C244:F244"/>
    <mergeCell ref="C241:F241"/>
    <mergeCell ref="C268:F268"/>
    <mergeCell ref="C246:F246"/>
    <mergeCell ref="C266:F266"/>
    <mergeCell ref="C267:F267"/>
    <mergeCell ref="C247:F247"/>
    <mergeCell ref="C251:F251"/>
    <mergeCell ref="C252:F252"/>
    <mergeCell ref="C299:F299"/>
    <mergeCell ref="C300:F300"/>
    <mergeCell ref="C301:F301"/>
    <mergeCell ref="C277:F277"/>
    <mergeCell ref="C278:F278"/>
    <mergeCell ref="C288:F288"/>
    <mergeCell ref="C289:F289"/>
    <mergeCell ref="C290:F290"/>
    <mergeCell ref="C291:F291"/>
    <mergeCell ref="C292:F292"/>
    <mergeCell ref="C293:F293"/>
    <mergeCell ref="C294:F294"/>
    <mergeCell ref="C279:F279"/>
    <mergeCell ref="C282:F282"/>
    <mergeCell ref="C283:F283"/>
    <mergeCell ref="C284:F284"/>
    <mergeCell ref="C285:F285"/>
    <mergeCell ref="C286:F286"/>
    <mergeCell ref="C287:F287"/>
    <mergeCell ref="C345:F345"/>
    <mergeCell ref="C346:F346"/>
    <mergeCell ref="C347:F347"/>
    <mergeCell ref="C348:F348"/>
    <mergeCell ref="C349:F349"/>
    <mergeCell ref="C326:F326"/>
    <mergeCell ref="C338:F338"/>
    <mergeCell ref="C339:F339"/>
    <mergeCell ref="C359:F359"/>
    <mergeCell ref="C360:F360"/>
    <mergeCell ref="C361:F361"/>
    <mergeCell ref="C370:F370"/>
    <mergeCell ref="C371:F371"/>
    <mergeCell ref="C372:F372"/>
    <mergeCell ref="C368:F368"/>
    <mergeCell ref="C353:F353"/>
    <mergeCell ref="C354:F354"/>
    <mergeCell ref="C365:F365"/>
    <mergeCell ref="C366:F366"/>
    <mergeCell ref="C367:F367"/>
    <mergeCell ref="C369:F369"/>
    <mergeCell ref="C362:F362"/>
    <mergeCell ref="C363:F363"/>
    <mergeCell ref="C364:F364"/>
    <mergeCell ref="C328:F328"/>
    <mergeCell ref="C329:F329"/>
    <mergeCell ref="C352:F352"/>
    <mergeCell ref="C343:F343"/>
    <mergeCell ref="C344:F344"/>
    <mergeCell ref="G377:O377"/>
    <mergeCell ref="C377:F377"/>
    <mergeCell ref="C358:F358"/>
    <mergeCell ref="C378:F378"/>
    <mergeCell ref="C379:F379"/>
    <mergeCell ref="C380:F380"/>
    <mergeCell ref="C381:F381"/>
    <mergeCell ref="C382:F382"/>
    <mergeCell ref="C383:F383"/>
    <mergeCell ref="C384:F384"/>
    <mergeCell ref="C403:F403"/>
    <mergeCell ref="C404:F404"/>
    <mergeCell ref="C405:F405"/>
    <mergeCell ref="C406:F406"/>
    <mergeCell ref="C407:F407"/>
    <mergeCell ref="C395:F395"/>
    <mergeCell ref="C396:F396"/>
    <mergeCell ref="C397:F397"/>
    <mergeCell ref="C398:F398"/>
    <mergeCell ref="C399:F399"/>
    <mergeCell ref="C400:F400"/>
    <mergeCell ref="C401:F401"/>
    <mergeCell ref="C402:F402"/>
    <mergeCell ref="C385:F385"/>
    <mergeCell ref="C386:F386"/>
    <mergeCell ref="C387:F387"/>
    <mergeCell ref="C388:F388"/>
    <mergeCell ref="C389:F389"/>
    <mergeCell ref="C390:F390"/>
    <mergeCell ref="C391:F391"/>
    <mergeCell ref="C392:F392"/>
    <mergeCell ref="C393:F393"/>
    <mergeCell ref="C394:F394"/>
    <mergeCell ref="C408:F408"/>
    <mergeCell ref="C409:F409"/>
    <mergeCell ref="C410:F410"/>
    <mergeCell ref="C411:F411"/>
    <mergeCell ref="C412:F412"/>
    <mergeCell ref="C413:F413"/>
    <mergeCell ref="C414:F414"/>
    <mergeCell ref="C415:F415"/>
    <mergeCell ref="C416:F416"/>
    <mergeCell ref="C417:F417"/>
    <mergeCell ref="C418:F418"/>
    <mergeCell ref="C419:F419"/>
    <mergeCell ref="C420:F420"/>
    <mergeCell ref="C421:F421"/>
    <mergeCell ref="C422:F422"/>
    <mergeCell ref="C423:F423"/>
    <mergeCell ref="C424:F424"/>
    <mergeCell ref="C425:F425"/>
    <mergeCell ref="C426:F426"/>
    <mergeCell ref="C427:F427"/>
    <mergeCell ref="C428:F428"/>
    <mergeCell ref="C429:F429"/>
    <mergeCell ref="C430:F430"/>
    <mergeCell ref="C431:F431"/>
    <mergeCell ref="C432:F432"/>
    <mergeCell ref="C433:F433"/>
    <mergeCell ref="C434:F434"/>
    <mergeCell ref="C435:F435"/>
    <mergeCell ref="C436:F436"/>
    <mergeCell ref="C437:F437"/>
    <mergeCell ref="C438:F438"/>
    <mergeCell ref="C439:F439"/>
    <mergeCell ref="C440:F440"/>
    <mergeCell ref="C441:F441"/>
    <mergeCell ref="C442:F442"/>
    <mergeCell ref="C443:F443"/>
    <mergeCell ref="C444:F444"/>
    <mergeCell ref="C445:F445"/>
    <mergeCell ref="C446:F446"/>
    <mergeCell ref="C447:F447"/>
    <mergeCell ref="C448:F448"/>
    <mergeCell ref="C449:F449"/>
    <mergeCell ref="C450:F450"/>
    <mergeCell ref="C451:F451"/>
    <mergeCell ref="C452:F452"/>
    <mergeCell ref="C453:F453"/>
    <mergeCell ref="C454:F454"/>
    <mergeCell ref="C455:F455"/>
    <mergeCell ref="C456:F456"/>
    <mergeCell ref="C457:F457"/>
    <mergeCell ref="C475:F475"/>
    <mergeCell ref="C462:F462"/>
    <mergeCell ref="C463:F463"/>
    <mergeCell ref="C464:F464"/>
    <mergeCell ref="C465:F465"/>
    <mergeCell ref="C466:F466"/>
    <mergeCell ref="C467:F467"/>
    <mergeCell ref="C460:F460"/>
    <mergeCell ref="C461:F461"/>
    <mergeCell ref="C458:F458"/>
    <mergeCell ref="C468:F468"/>
    <mergeCell ref="C469:F469"/>
    <mergeCell ref="C470:F470"/>
    <mergeCell ref="C471:F471"/>
    <mergeCell ref="C472:F472"/>
    <mergeCell ref="C473:F473"/>
    <mergeCell ref="C487:F487"/>
    <mergeCell ref="C492:F492"/>
    <mergeCell ref="C493:F493"/>
    <mergeCell ref="C494:F494"/>
    <mergeCell ref="C495:F495"/>
    <mergeCell ref="C496:F496"/>
    <mergeCell ref="C497:F497"/>
    <mergeCell ref="C498:F498"/>
    <mergeCell ref="C499:F499"/>
    <mergeCell ref="C478:F478"/>
    <mergeCell ref="C479:F479"/>
    <mergeCell ref="C480:F480"/>
    <mergeCell ref="C481:F481"/>
    <mergeCell ref="C482:F482"/>
    <mergeCell ref="C483:F483"/>
    <mergeCell ref="C484:F484"/>
    <mergeCell ref="C485:F485"/>
    <mergeCell ref="C486:F486"/>
    <mergeCell ref="C488:F488"/>
    <mergeCell ref="C489:F489"/>
    <mergeCell ref="C490:F490"/>
    <mergeCell ref="C577:F577"/>
    <mergeCell ref="C578:F578"/>
    <mergeCell ref="C579:F579"/>
    <mergeCell ref="C580:F580"/>
    <mergeCell ref="C581:F581"/>
    <mergeCell ref="C582:F582"/>
    <mergeCell ref="C583:F583"/>
    <mergeCell ref="C584:F584"/>
    <mergeCell ref="C585:F585"/>
    <mergeCell ref="C586:F586"/>
    <mergeCell ref="C587:F587"/>
    <mergeCell ref="C588:F588"/>
    <mergeCell ref="C589:F589"/>
    <mergeCell ref="C590:F590"/>
    <mergeCell ref="C591:F591"/>
    <mergeCell ref="C592:F592"/>
    <mergeCell ref="C593:F593"/>
    <mergeCell ref="C594:F594"/>
    <mergeCell ref="C595:F595"/>
    <mergeCell ref="C596:F596"/>
    <mergeCell ref="C598:F598"/>
    <mergeCell ref="C599:F599"/>
    <mergeCell ref="C600:F600"/>
    <mergeCell ref="C601:F601"/>
    <mergeCell ref="C602:F602"/>
    <mergeCell ref="C603:F603"/>
    <mergeCell ref="C604:F604"/>
    <mergeCell ref="C605:F605"/>
    <mergeCell ref="C606:F606"/>
    <mergeCell ref="C607:F607"/>
    <mergeCell ref="C597:F597"/>
    <mergeCell ref="C608:F608"/>
    <mergeCell ref="C609:F609"/>
    <mergeCell ref="C610:F610"/>
    <mergeCell ref="C611:F611"/>
    <mergeCell ref="C612:F612"/>
    <mergeCell ref="C613:F613"/>
    <mergeCell ref="C614:F614"/>
    <mergeCell ref="C615:F615"/>
    <mergeCell ref="C616:F616"/>
    <mergeCell ref="C617:F617"/>
    <mergeCell ref="C618:F618"/>
    <mergeCell ref="C619:F619"/>
    <mergeCell ref="C620:F620"/>
    <mergeCell ref="C621:F621"/>
    <mergeCell ref="C622:F622"/>
    <mergeCell ref="C623:F623"/>
    <mergeCell ref="C624:F624"/>
    <mergeCell ref="C625:F625"/>
    <mergeCell ref="C712:F712"/>
    <mergeCell ref="C713:F713"/>
    <mergeCell ref="C646:F646"/>
    <mergeCell ref="C703:F703"/>
    <mergeCell ref="C705:F705"/>
    <mergeCell ref="C697:F697"/>
    <mergeCell ref="C698:F698"/>
    <mergeCell ref="C699:F699"/>
    <mergeCell ref="C700:F700"/>
    <mergeCell ref="C701:F701"/>
    <mergeCell ref="C702:F702"/>
    <mergeCell ref="C695:F695"/>
    <mergeCell ref="C626:F626"/>
    <mergeCell ref="C627:F627"/>
    <mergeCell ref="C628:F628"/>
    <mergeCell ref="C629:F629"/>
    <mergeCell ref="C630:F630"/>
    <mergeCell ref="C719:F719"/>
    <mergeCell ref="C721:F721"/>
    <mergeCell ref="C800:F800"/>
    <mergeCell ref="C720:F720"/>
    <mergeCell ref="C802:F802"/>
    <mergeCell ref="C803:F803"/>
    <mergeCell ref="C763:F763"/>
    <mergeCell ref="C764:F764"/>
    <mergeCell ref="C765:F765"/>
    <mergeCell ref="C766:F766"/>
    <mergeCell ref="C767:F767"/>
    <mergeCell ref="C768:F768"/>
    <mergeCell ref="C769:F769"/>
    <mergeCell ref="C770:F770"/>
    <mergeCell ref="C771:F771"/>
    <mergeCell ref="C772:F772"/>
    <mergeCell ref="C773:F773"/>
    <mergeCell ref="C774:F774"/>
    <mergeCell ref="C775:F775"/>
    <mergeCell ref="C776:F776"/>
    <mergeCell ref="C777:F777"/>
    <mergeCell ref="C731:F731"/>
    <mergeCell ref="C732:F732"/>
    <mergeCell ref="C733:F733"/>
    <mergeCell ref="C734:F734"/>
    <mergeCell ref="C735:F735"/>
    <mergeCell ref="C736:F736"/>
    <mergeCell ref="C737:F737"/>
    <mergeCell ref="C797:F797"/>
    <mergeCell ref="C804:F804"/>
    <mergeCell ref="C716:F716"/>
    <mergeCell ref="C718:F718"/>
    <mergeCell ref="C722:F722"/>
    <mergeCell ref="C801:F801"/>
    <mergeCell ref="C808:F808"/>
    <mergeCell ref="C809:F809"/>
    <mergeCell ref="C810:F810"/>
    <mergeCell ref="C811:F811"/>
    <mergeCell ref="C821:F821"/>
    <mergeCell ref="C822:F822"/>
    <mergeCell ref="C823:F823"/>
    <mergeCell ref="C805:F805"/>
    <mergeCell ref="C812:F812"/>
    <mergeCell ref="C824:F824"/>
    <mergeCell ref="C825:F825"/>
    <mergeCell ref="C826:F826"/>
    <mergeCell ref="C748:F748"/>
    <mergeCell ref="C749:F749"/>
    <mergeCell ref="C750:F750"/>
    <mergeCell ref="C751:F751"/>
    <mergeCell ref="C752:F752"/>
    <mergeCell ref="C753:F753"/>
    <mergeCell ref="C754:F754"/>
    <mergeCell ref="C755:F755"/>
    <mergeCell ref="C756:F756"/>
    <mergeCell ref="C757:F757"/>
    <mergeCell ref="C758:F758"/>
    <mergeCell ref="C759:F759"/>
    <mergeCell ref="C760:F760"/>
    <mergeCell ref="C761:F761"/>
    <mergeCell ref="C762:F762"/>
    <mergeCell ref="C836:F836"/>
    <mergeCell ref="C837:F837"/>
    <mergeCell ref="C838:F838"/>
    <mergeCell ref="C839:F839"/>
    <mergeCell ref="C840:F840"/>
    <mergeCell ref="C841:F841"/>
    <mergeCell ref="C842:F842"/>
    <mergeCell ref="C846:F846"/>
    <mergeCell ref="C847:F847"/>
    <mergeCell ref="C844:F844"/>
    <mergeCell ref="C845:F845"/>
    <mergeCell ref="C855:F855"/>
    <mergeCell ref="C827:F827"/>
    <mergeCell ref="C829:F829"/>
    <mergeCell ref="C815:F815"/>
    <mergeCell ref="C816:F816"/>
    <mergeCell ref="C817:F817"/>
    <mergeCell ref="C818:F818"/>
    <mergeCell ref="C819:F819"/>
    <mergeCell ref="C830:F830"/>
    <mergeCell ref="C831:F831"/>
    <mergeCell ref="C832:F832"/>
    <mergeCell ref="C834:F834"/>
    <mergeCell ref="C835:F835"/>
    <mergeCell ref="C851:F851"/>
    <mergeCell ref="C856:F856"/>
    <mergeCell ref="C854:F854"/>
    <mergeCell ref="C852:F852"/>
    <mergeCell ref="C853:F853"/>
    <mergeCell ref="C871:F871"/>
    <mergeCell ref="C872:F872"/>
    <mergeCell ref="C873:F873"/>
    <mergeCell ref="C874:F874"/>
    <mergeCell ref="C875:F875"/>
    <mergeCell ref="C876:F876"/>
    <mergeCell ref="C877:F877"/>
    <mergeCell ref="C878:F878"/>
    <mergeCell ref="C879:F879"/>
    <mergeCell ref="C880:F880"/>
    <mergeCell ref="C881:F881"/>
    <mergeCell ref="C882:F882"/>
    <mergeCell ref="C883:F883"/>
    <mergeCell ref="C868:F868"/>
    <mergeCell ref="C869:F869"/>
    <mergeCell ref="C870:F870"/>
    <mergeCell ref="C884:F884"/>
    <mergeCell ref="C885:F885"/>
    <mergeCell ref="C886:F886"/>
    <mergeCell ref="C887:F887"/>
    <mergeCell ref="C888:F888"/>
    <mergeCell ref="C889:F889"/>
    <mergeCell ref="C890:F890"/>
    <mergeCell ref="C891:F891"/>
    <mergeCell ref="C892:F892"/>
    <mergeCell ref="C893:F893"/>
    <mergeCell ref="C894:F894"/>
    <mergeCell ref="C895:F895"/>
    <mergeCell ref="C896:F896"/>
    <mergeCell ref="C897:F897"/>
    <mergeCell ref="C898:F898"/>
    <mergeCell ref="C899:F899"/>
    <mergeCell ref="C900:F900"/>
    <mergeCell ref="C901:F901"/>
    <mergeCell ref="C902:F902"/>
    <mergeCell ref="C903:F903"/>
    <mergeCell ref="C904:F904"/>
    <mergeCell ref="C905:F905"/>
    <mergeCell ref="C922:F922"/>
    <mergeCell ref="C923:F923"/>
    <mergeCell ref="C924:F924"/>
    <mergeCell ref="C931:F931"/>
    <mergeCell ref="G931:O931"/>
    <mergeCell ref="C932:F932"/>
    <mergeCell ref="C933:F933"/>
    <mergeCell ref="C935:F935"/>
    <mergeCell ref="C936:F936"/>
    <mergeCell ref="C937:F937"/>
    <mergeCell ref="C914:F914"/>
    <mergeCell ref="C915:F915"/>
    <mergeCell ref="C916:F916"/>
    <mergeCell ref="C917:F917"/>
    <mergeCell ref="C918:F918"/>
    <mergeCell ref="C919:F919"/>
    <mergeCell ref="C920:F920"/>
    <mergeCell ref="C921:F921"/>
    <mergeCell ref="C906:F906"/>
    <mergeCell ref="C907:F907"/>
    <mergeCell ref="C908:F908"/>
    <mergeCell ref="C909:F909"/>
    <mergeCell ref="C910:F910"/>
    <mergeCell ref="C911:F911"/>
    <mergeCell ref="C912:F912"/>
    <mergeCell ref="C913:F913"/>
    <mergeCell ref="C926:F926"/>
    <mergeCell ref="C927:F927"/>
    <mergeCell ref="C938:F938"/>
    <mergeCell ref="C939:F939"/>
    <mergeCell ref="C940:F940"/>
    <mergeCell ref="C941:F941"/>
    <mergeCell ref="C942:F942"/>
    <mergeCell ref="C943:F943"/>
    <mergeCell ref="C944:F944"/>
    <mergeCell ref="C945:F945"/>
    <mergeCell ref="C946:F946"/>
    <mergeCell ref="C961:F961"/>
    <mergeCell ref="C962:F962"/>
    <mergeCell ref="C963:F963"/>
    <mergeCell ref="C980:F980"/>
    <mergeCell ref="C981:F981"/>
    <mergeCell ref="C992:F992"/>
    <mergeCell ref="C972:F972"/>
    <mergeCell ref="C973:F973"/>
    <mergeCell ref="C975:F975"/>
    <mergeCell ref="C977:F977"/>
    <mergeCell ref="C978:F978"/>
    <mergeCell ref="C979:F979"/>
    <mergeCell ref="C983:F983"/>
    <mergeCell ref="C984:F984"/>
    <mergeCell ref="C953:F953"/>
    <mergeCell ref="C954:F954"/>
    <mergeCell ref="C955:F955"/>
    <mergeCell ref="C956:F956"/>
    <mergeCell ref="C957:F957"/>
    <mergeCell ref="C958:F958"/>
    <mergeCell ref="C959:F959"/>
    <mergeCell ref="C965:F965"/>
    <mergeCell ref="C982:F982"/>
    <mergeCell ref="C993:F993"/>
    <mergeCell ref="C1000:F1000"/>
    <mergeCell ref="C1005:F1005"/>
    <mergeCell ref="C1006:F1006"/>
    <mergeCell ref="C1027:F1027"/>
    <mergeCell ref="C1026:F1026"/>
    <mergeCell ref="C1032:F1032"/>
    <mergeCell ref="C1033:F1033"/>
    <mergeCell ref="C1047:F1047"/>
    <mergeCell ref="C976:F976"/>
    <mergeCell ref="C985:F985"/>
    <mergeCell ref="C1009:F1009"/>
    <mergeCell ref="C1010:F1010"/>
    <mergeCell ref="C1011:F1011"/>
    <mergeCell ref="C1012:F1012"/>
    <mergeCell ref="C1007:F1007"/>
    <mergeCell ref="C1008:F1008"/>
    <mergeCell ref="C1028:F1028"/>
    <mergeCell ref="C1031:F1031"/>
    <mergeCell ref="C1029:F1029"/>
    <mergeCell ref="C999:F999"/>
    <mergeCell ref="C1013:F1013"/>
    <mergeCell ref="C1018:F1018"/>
    <mergeCell ref="C1019:F1019"/>
    <mergeCell ref="C1014:F1014"/>
    <mergeCell ref="C1015:F1015"/>
    <mergeCell ref="C1016:F1016"/>
    <mergeCell ref="C1017:F1017"/>
    <mergeCell ref="C1020:F1020"/>
    <mergeCell ref="C1030:F1030"/>
    <mergeCell ref="C1041:F1041"/>
    <mergeCell ref="C1087:F1087"/>
    <mergeCell ref="C1072:F1072"/>
    <mergeCell ref="C1073:F1073"/>
    <mergeCell ref="C1074:F1074"/>
    <mergeCell ref="C1089:F1089"/>
    <mergeCell ref="C1163:F1163"/>
    <mergeCell ref="C1173:F1173"/>
    <mergeCell ref="C1159:F1159"/>
    <mergeCell ref="C1186:F1186"/>
    <mergeCell ref="C1187:F1187"/>
    <mergeCell ref="G1135:O1135"/>
    <mergeCell ref="C1136:F1136"/>
    <mergeCell ref="C1137:F1137"/>
    <mergeCell ref="C1140:F1140"/>
    <mergeCell ref="C1141:F1141"/>
    <mergeCell ref="C1142:F1142"/>
    <mergeCell ref="C1143:F1143"/>
    <mergeCell ref="C1148:F1148"/>
    <mergeCell ref="C1149:F1149"/>
    <mergeCell ref="C1152:F1152"/>
    <mergeCell ref="C1154:F1154"/>
    <mergeCell ref="C1155:F1155"/>
    <mergeCell ref="C1156:F1156"/>
    <mergeCell ref="C1157:F1157"/>
    <mergeCell ref="C1139:F1139"/>
    <mergeCell ref="C1153:F1153"/>
    <mergeCell ref="C1144:F1144"/>
    <mergeCell ref="C1145:F1145"/>
    <mergeCell ref="C1146:F1146"/>
    <mergeCell ref="C1147:F1147"/>
    <mergeCell ref="C1120:F1120"/>
    <mergeCell ref="C1121:F1121"/>
    <mergeCell ref="G1222:O1222"/>
    <mergeCell ref="C1195:F1195"/>
    <mergeCell ref="C1196:F1196"/>
    <mergeCell ref="C1197:F1197"/>
    <mergeCell ref="C1209:F1209"/>
    <mergeCell ref="C1210:F1210"/>
    <mergeCell ref="C1211:F1211"/>
    <mergeCell ref="G1157:O1157"/>
    <mergeCell ref="C1158:F1158"/>
    <mergeCell ref="C1160:F1160"/>
    <mergeCell ref="C1161:F1161"/>
    <mergeCell ref="C1162:F1162"/>
    <mergeCell ref="C1182:F1182"/>
    <mergeCell ref="C1183:F1183"/>
    <mergeCell ref="C1184:F1184"/>
    <mergeCell ref="C1193:F1193"/>
    <mergeCell ref="C1192:F1192"/>
    <mergeCell ref="C1174:F1174"/>
    <mergeCell ref="C1175:F1175"/>
    <mergeCell ref="C1176:F1176"/>
    <mergeCell ref="C1177:F1177"/>
    <mergeCell ref="C1178:F1178"/>
    <mergeCell ref="C1179:F1179"/>
    <mergeCell ref="C1180:F1180"/>
    <mergeCell ref="C1181:F1181"/>
    <mergeCell ref="C1164:F1164"/>
    <mergeCell ref="C1165:F1165"/>
    <mergeCell ref="C1166:F1166"/>
    <mergeCell ref="C1167:F1167"/>
    <mergeCell ref="C1168:F1168"/>
    <mergeCell ref="C1169:F1169"/>
    <mergeCell ref="C1170:F1170"/>
    <mergeCell ref="G1223:O1223"/>
    <mergeCell ref="C1224:F1224"/>
    <mergeCell ref="C1225:F1225"/>
    <mergeCell ref="C1250:F1250"/>
    <mergeCell ref="C1251:F1251"/>
    <mergeCell ref="C1252:F1252"/>
    <mergeCell ref="C1253:F1253"/>
    <mergeCell ref="C1256:F1256"/>
    <mergeCell ref="C1257:F1257"/>
    <mergeCell ref="C1258:F1258"/>
    <mergeCell ref="C1212:F1212"/>
    <mergeCell ref="C1216:F1216"/>
    <mergeCell ref="C1217:F1217"/>
    <mergeCell ref="C1218:F1218"/>
    <mergeCell ref="C1259:F1259"/>
    <mergeCell ref="C1260:F1260"/>
    <mergeCell ref="C1219:F1219"/>
    <mergeCell ref="C1220:F1220"/>
    <mergeCell ref="C1213:F1213"/>
    <mergeCell ref="C1226:F1226"/>
    <mergeCell ref="C1227:F1227"/>
    <mergeCell ref="C1239:F1239"/>
    <mergeCell ref="C1240:F1240"/>
    <mergeCell ref="C1241:F1241"/>
    <mergeCell ref="C1242:F1242"/>
    <mergeCell ref="C1243:F1243"/>
    <mergeCell ref="C1248:F1248"/>
    <mergeCell ref="C1249:F1249"/>
    <mergeCell ref="C1254:F1254"/>
    <mergeCell ref="C1228:F1228"/>
    <mergeCell ref="C1229:F1229"/>
    <mergeCell ref="C1214:F1214"/>
    <mergeCell ref="C1475:F1475"/>
    <mergeCell ref="C1476:F1476"/>
    <mergeCell ref="C1477:F1477"/>
    <mergeCell ref="G1273:O1273"/>
    <mergeCell ref="C1274:F1274"/>
    <mergeCell ref="C1275:F1275"/>
    <mergeCell ref="C1277:F1277"/>
    <mergeCell ref="C1278:F1278"/>
    <mergeCell ref="C1279:F1279"/>
    <mergeCell ref="C1280:F1280"/>
    <mergeCell ref="C1281:F1281"/>
    <mergeCell ref="C1282:F1282"/>
    <mergeCell ref="C1283:F1283"/>
    <mergeCell ref="C1284:F1284"/>
    <mergeCell ref="C1285:F1285"/>
    <mergeCell ref="C1286:F1286"/>
    <mergeCell ref="C1287:F1287"/>
    <mergeCell ref="C1288:F1288"/>
    <mergeCell ref="C1289:F1289"/>
    <mergeCell ref="C1290:F1290"/>
    <mergeCell ref="C1294:F1294"/>
    <mergeCell ref="C1295:F1295"/>
    <mergeCell ref="C1329:F1329"/>
    <mergeCell ref="C1330:F1330"/>
    <mergeCell ref="C1333:F1333"/>
    <mergeCell ref="C1332:F1332"/>
    <mergeCell ref="C1336:F1336"/>
    <mergeCell ref="C1337:F1337"/>
    <mergeCell ref="C1335:F1335"/>
    <mergeCell ref="C1308:F1308"/>
    <mergeCell ref="C1304:F1304"/>
    <mergeCell ref="C1473:F1473"/>
    <mergeCell ref="C1474:F1474"/>
    <mergeCell ref="C1480:F1480"/>
    <mergeCell ref="C1464:F1464"/>
    <mergeCell ref="C1465:F1465"/>
    <mergeCell ref="C1529:F1529"/>
    <mergeCell ref="C1530:F1530"/>
    <mergeCell ref="C1548:F1548"/>
    <mergeCell ref="C1417:F1417"/>
    <mergeCell ref="C1405:F1405"/>
    <mergeCell ref="G1342:O1342"/>
    <mergeCell ref="C1381:F1381"/>
    <mergeCell ref="C1382:F1382"/>
    <mergeCell ref="C1383:F1383"/>
    <mergeCell ref="C1384:F1384"/>
    <mergeCell ref="C1385:F1385"/>
    <mergeCell ref="C1386:F1386"/>
    <mergeCell ref="C1343:F1343"/>
    <mergeCell ref="G1343:O1343"/>
    <mergeCell ref="C1344:F1344"/>
    <mergeCell ref="C1346:F1346"/>
    <mergeCell ref="C1347:F1347"/>
    <mergeCell ref="C1348:F1348"/>
    <mergeCell ref="C1349:F1349"/>
    <mergeCell ref="C1350:F1350"/>
    <mergeCell ref="C1351:F1351"/>
    <mergeCell ref="C1352:F1352"/>
    <mergeCell ref="C1353:F1353"/>
    <mergeCell ref="C1354:F1354"/>
    <mergeCell ref="C1355:F1355"/>
    <mergeCell ref="C1356:F1356"/>
    <mergeCell ref="G1474:O1474"/>
    <mergeCell ref="G1506:O1506"/>
    <mergeCell ref="C1507:F1507"/>
    <mergeCell ref="C1508:F1508"/>
    <mergeCell ref="C1509:F1509"/>
    <mergeCell ref="C1510:F1510"/>
    <mergeCell ref="C1513:F1513"/>
    <mergeCell ref="C1514:F1514"/>
    <mergeCell ref="G1514:O1514"/>
    <mergeCell ref="C1515:F1515"/>
    <mergeCell ref="C1516:F1516"/>
    <mergeCell ref="C1517:F1517"/>
    <mergeCell ref="C1518:F1518"/>
    <mergeCell ref="C1519:F1519"/>
    <mergeCell ref="C1520:F1520"/>
    <mergeCell ref="C1528:F1528"/>
    <mergeCell ref="C1521:F1521"/>
    <mergeCell ref="C1525:F1525"/>
    <mergeCell ref="C1526:F1526"/>
    <mergeCell ref="C1527:F1527"/>
    <mergeCell ref="C1511:F1511"/>
    <mergeCell ref="C1512:F1512"/>
    <mergeCell ref="G1561:O1561"/>
    <mergeCell ref="C1608:F1608"/>
    <mergeCell ref="C1654:F1654"/>
    <mergeCell ref="C1655:F1655"/>
    <mergeCell ref="C1615:F1615"/>
    <mergeCell ref="C1616:F1616"/>
    <mergeCell ref="C1617:F1617"/>
    <mergeCell ref="C1618:F1618"/>
    <mergeCell ref="C1619:F1619"/>
    <mergeCell ref="C1620:F1620"/>
    <mergeCell ref="C1621:F1621"/>
    <mergeCell ref="C1622:F1622"/>
    <mergeCell ref="C1623:F1623"/>
    <mergeCell ref="C1624:F1624"/>
    <mergeCell ref="C1625:F1625"/>
    <mergeCell ref="C1626:F1626"/>
    <mergeCell ref="C1627:F1627"/>
    <mergeCell ref="C1628:F1628"/>
    <mergeCell ref="C1629:F1629"/>
    <mergeCell ref="C1613:F1613"/>
    <mergeCell ref="C1564:F1564"/>
    <mergeCell ref="C1565:F1565"/>
    <mergeCell ref="C1566:F1566"/>
    <mergeCell ref="C1567:F1567"/>
    <mergeCell ref="C1568:F1568"/>
    <mergeCell ref="C1569:F1569"/>
    <mergeCell ref="C1570:F1570"/>
    <mergeCell ref="C1571:F1571"/>
    <mergeCell ref="C1580:F1580"/>
    <mergeCell ref="C1581:F1581"/>
    <mergeCell ref="C1582:F1582"/>
    <mergeCell ref="C1583:F1583"/>
    <mergeCell ref="C1588:F1588"/>
    <mergeCell ref="C1587:F1587"/>
    <mergeCell ref="C1586:F1586"/>
    <mergeCell ref="C1700:F1700"/>
    <mergeCell ref="C1701:F1701"/>
    <mergeCell ref="C1653:F1653"/>
    <mergeCell ref="C1702:F1702"/>
    <mergeCell ref="C1666:F1666"/>
    <mergeCell ref="C1667:F1667"/>
    <mergeCell ref="C1668:F1668"/>
    <mergeCell ref="C1669:F1669"/>
    <mergeCell ref="C1670:F1670"/>
    <mergeCell ref="C1594:F1594"/>
    <mergeCell ref="C1593:F1593"/>
    <mergeCell ref="C1678:F1678"/>
    <mergeCell ref="C1679:F1679"/>
    <mergeCell ref="C1647:F1647"/>
    <mergeCell ref="C1609:F1609"/>
    <mergeCell ref="C1672:F1672"/>
    <mergeCell ref="C1673:F1673"/>
    <mergeCell ref="C1674:F1674"/>
    <mergeCell ref="C1675:F1675"/>
    <mergeCell ref="C1676:F1676"/>
    <mergeCell ref="C1677:F1677"/>
    <mergeCell ref="C1686:F1686"/>
    <mergeCell ref="C1687:F1687"/>
    <mergeCell ref="C1689:F1689"/>
    <mergeCell ref="C1690:F1690"/>
    <mergeCell ref="C1698:F1698"/>
    <mergeCell ref="C1648:F1648"/>
    <mergeCell ref="C1685:F1685"/>
    <mergeCell ref="C1649:F1649"/>
    <mergeCell ref="C1747:F1747"/>
    <mergeCell ref="C1748:F1748"/>
    <mergeCell ref="C1766:F1766"/>
    <mergeCell ref="C1767:F1767"/>
    <mergeCell ref="C1713:F1713"/>
    <mergeCell ref="C1714:F1714"/>
    <mergeCell ref="C1715:F1715"/>
    <mergeCell ref="C1716:F1716"/>
    <mergeCell ref="C1717:F1717"/>
    <mergeCell ref="C1718:F1718"/>
    <mergeCell ref="C1719:F1719"/>
    <mergeCell ref="C1720:F1720"/>
    <mergeCell ref="C1721:F1721"/>
    <mergeCell ref="C1722:F1722"/>
    <mergeCell ref="C1723:F1723"/>
    <mergeCell ref="C1724:F1724"/>
    <mergeCell ref="C1725:F1725"/>
    <mergeCell ref="C1726:F1726"/>
    <mergeCell ref="C1727:F1727"/>
    <mergeCell ref="C1728:F1728"/>
    <mergeCell ref="C1749:F1749"/>
    <mergeCell ref="C1750:F1750"/>
    <mergeCell ref="C1751:F1751"/>
    <mergeCell ref="C1752:F1752"/>
    <mergeCell ref="C1753:F1753"/>
    <mergeCell ref="C1754:F1754"/>
    <mergeCell ref="C1755:F1755"/>
    <mergeCell ref="C1733:F1733"/>
    <mergeCell ref="C1734:F1734"/>
    <mergeCell ref="C1735:F1735"/>
    <mergeCell ref="C1736:F1736"/>
    <mergeCell ref="C1737:F1737"/>
    <mergeCell ref="C1756:F1756"/>
    <mergeCell ref="C1757:F1757"/>
    <mergeCell ref="C1758:F1758"/>
    <mergeCell ref="C1759:F1759"/>
    <mergeCell ref="C1760:F1760"/>
    <mergeCell ref="C1768:F1768"/>
    <mergeCell ref="C1769:F1769"/>
    <mergeCell ref="C1770:F1770"/>
    <mergeCell ref="C1771:F1771"/>
    <mergeCell ref="C1772:F1772"/>
    <mergeCell ref="C1773:F1773"/>
    <mergeCell ref="C1779:F1779"/>
    <mergeCell ref="C1780:F1780"/>
    <mergeCell ref="C1781:F1781"/>
    <mergeCell ref="C1782:F1782"/>
    <mergeCell ref="C1783:F1783"/>
    <mergeCell ref="C1778:F1778"/>
    <mergeCell ref="C1776:F1776"/>
    <mergeCell ref="C1777:F1777"/>
    <mergeCell ref="C1791:F1791"/>
    <mergeCell ref="C1806:F1806"/>
    <mergeCell ref="C1807:F1807"/>
    <mergeCell ref="C1808:F1808"/>
    <mergeCell ref="C1809:F1809"/>
    <mergeCell ref="C1790:F1790"/>
    <mergeCell ref="C1835:F1835"/>
    <mergeCell ref="C1836:F1836"/>
    <mergeCell ref="C1838:F1838"/>
    <mergeCell ref="C1814:F1814"/>
    <mergeCell ref="C1787:F1787"/>
    <mergeCell ref="C1788:F1788"/>
    <mergeCell ref="C1789:F1789"/>
    <mergeCell ref="C1802:F1802"/>
    <mergeCell ref="C1803:F1803"/>
    <mergeCell ref="C1804:F1804"/>
    <mergeCell ref="C1811:F1811"/>
    <mergeCell ref="C1831:O1831"/>
    <mergeCell ref="C1801:F1801"/>
    <mergeCell ref="C1837:F1837"/>
    <mergeCell ref="C1842:F1842"/>
    <mergeCell ref="C1843:F1843"/>
    <mergeCell ref="C1786:F1786"/>
    <mergeCell ref="C1824:F1824"/>
    <mergeCell ref="C1825:F1825"/>
    <mergeCell ref="C1826:F1826"/>
    <mergeCell ref="C1815:F1815"/>
    <mergeCell ref="C1816:F1816"/>
    <mergeCell ref="C1817:F1817"/>
    <mergeCell ref="C1810:F1810"/>
    <mergeCell ref="C1875:F1875"/>
    <mergeCell ref="C1876:F1876"/>
    <mergeCell ref="G1876:O1876"/>
    <mergeCell ref="C1761:F1761"/>
    <mergeCell ref="C1762:F1762"/>
    <mergeCell ref="C1763:F1763"/>
    <mergeCell ref="C1764:F1764"/>
    <mergeCell ref="C1765:F1765"/>
    <mergeCell ref="C1792:F1792"/>
    <mergeCell ref="C1793:F1793"/>
    <mergeCell ref="C1794:F1794"/>
    <mergeCell ref="C1795:F1795"/>
    <mergeCell ref="C1796:F1796"/>
    <mergeCell ref="C1797:F1797"/>
    <mergeCell ref="C1798:F1798"/>
    <mergeCell ref="C1799:F1799"/>
    <mergeCell ref="C1800:F1800"/>
    <mergeCell ref="C1823:F1823"/>
    <mergeCell ref="C1869:F1869"/>
    <mergeCell ref="C1867:F1867"/>
    <mergeCell ref="C1865:F1865"/>
    <mergeCell ref="C1866:F1866"/>
    <mergeCell ref="C1857:F1857"/>
    <mergeCell ref="C1784:F1784"/>
    <mergeCell ref="C1785:F1785"/>
    <mergeCell ref="C1774:F1774"/>
    <mergeCell ref="C1775:F1775"/>
    <mergeCell ref="C1805:F1805"/>
    <mergeCell ref="C1830:F1830"/>
    <mergeCell ref="C1832:F1832"/>
    <mergeCell ref="C1833:F1833"/>
    <mergeCell ref="C1834:F1834"/>
    <mergeCell ref="C1877:F1877"/>
    <mergeCell ref="C1878:F1878"/>
    <mergeCell ref="C1879:F1879"/>
    <mergeCell ref="C1961:F1961"/>
    <mergeCell ref="C1962:F1962"/>
    <mergeCell ref="C1965:F1965"/>
    <mergeCell ref="C1963:F1963"/>
    <mergeCell ref="C1964:F1964"/>
    <mergeCell ref="C1812:F1812"/>
    <mergeCell ref="C1813:F1813"/>
    <mergeCell ref="C1858:F1858"/>
    <mergeCell ref="C1859:F1859"/>
    <mergeCell ref="C1860:F1860"/>
    <mergeCell ref="C1861:F1861"/>
    <mergeCell ref="C1862:F1862"/>
    <mergeCell ref="C1863:F1863"/>
    <mergeCell ref="C1864:F1864"/>
    <mergeCell ref="C1874:F1874"/>
    <mergeCell ref="C1896:F1896"/>
    <mergeCell ref="C1897:F1897"/>
    <mergeCell ref="C1844:F1844"/>
    <mergeCell ref="C1845:F1845"/>
    <mergeCell ref="C1846:F1846"/>
    <mergeCell ref="C1818:F1818"/>
    <mergeCell ref="C1819:F1819"/>
    <mergeCell ref="C1820:F1820"/>
    <mergeCell ref="C1821:F1821"/>
    <mergeCell ref="C1822:F1822"/>
    <mergeCell ref="C1839:F1839"/>
    <mergeCell ref="C1840:F1840"/>
    <mergeCell ref="C1841:F1841"/>
    <mergeCell ref="C1966:F1966"/>
    <mergeCell ref="C1967:F1967"/>
    <mergeCell ref="C1888:F1888"/>
    <mergeCell ref="C1889:F1889"/>
    <mergeCell ref="C1890:F1890"/>
    <mergeCell ref="C1891:F1891"/>
    <mergeCell ref="C1892:F1892"/>
    <mergeCell ref="C1893:F1893"/>
    <mergeCell ref="C1894:F1894"/>
    <mergeCell ref="C1895:F1895"/>
    <mergeCell ref="C1898:F1898"/>
    <mergeCell ref="C1899:F1899"/>
    <mergeCell ref="C1900:F1900"/>
    <mergeCell ref="C1901:F1901"/>
    <mergeCell ref="C1902:F1902"/>
    <mergeCell ref="C1903:F1903"/>
    <mergeCell ref="C1904:F1904"/>
    <mergeCell ref="C1951:F1951"/>
    <mergeCell ref="C1933:F1933"/>
    <mergeCell ref="C1937:F1937"/>
    <mergeCell ref="C1938:F1938"/>
    <mergeCell ref="C1939:F1939"/>
    <mergeCell ref="C1940:F1940"/>
    <mergeCell ref="C1978:F1978"/>
    <mergeCell ref="C1972:F1972"/>
    <mergeCell ref="C1973:F1973"/>
    <mergeCell ref="C1905:F1905"/>
    <mergeCell ref="C1906:F1906"/>
    <mergeCell ref="C1907:F1907"/>
    <mergeCell ref="C1908:F1908"/>
    <mergeCell ref="C1909:F1909"/>
    <mergeCell ref="C1910:F1910"/>
    <mergeCell ref="C1911:F1911"/>
    <mergeCell ref="C1912:F1912"/>
    <mergeCell ref="C1913:F1913"/>
    <mergeCell ref="C1968:F1968"/>
    <mergeCell ref="C1969:F1969"/>
    <mergeCell ref="C1970:F1970"/>
    <mergeCell ref="C1971:F1971"/>
    <mergeCell ref="C1974:F1974"/>
    <mergeCell ref="C1975:F1975"/>
    <mergeCell ref="C1976:F1976"/>
    <mergeCell ref="C1977:F1977"/>
    <mergeCell ref="C1941:F1941"/>
    <mergeCell ref="C1952:F1952"/>
    <mergeCell ref="C1953:F1953"/>
    <mergeCell ref="C1954:F1954"/>
    <mergeCell ref="C1955:F1955"/>
    <mergeCell ref="C1956:F1956"/>
    <mergeCell ref="C1957:F1957"/>
    <mergeCell ref="C1958:F1958"/>
    <mergeCell ref="C1959:F1959"/>
    <mergeCell ref="C1960:F1960"/>
    <mergeCell ref="C1950:F1950"/>
    <mergeCell ref="C1928:F1928"/>
    <mergeCell ref="C2007:F2007"/>
    <mergeCell ref="C2008:F2008"/>
    <mergeCell ref="G2008:O2008"/>
    <mergeCell ref="C2009:F2009"/>
    <mergeCell ref="G2009:O2009"/>
    <mergeCell ref="C2014:F2014"/>
    <mergeCell ref="C2015:F2015"/>
    <mergeCell ref="C2010:F2010"/>
    <mergeCell ref="C1990:F1990"/>
    <mergeCell ref="C1991:F1991"/>
    <mergeCell ref="C1992:F1992"/>
    <mergeCell ref="C2016:F2016"/>
    <mergeCell ref="C2017:F2017"/>
    <mergeCell ref="C1993:F1993"/>
    <mergeCell ref="C1994:F1994"/>
    <mergeCell ref="C1979:F1979"/>
    <mergeCell ref="C1980:F1980"/>
    <mergeCell ref="C1981:F1981"/>
    <mergeCell ref="C1995:F1995"/>
    <mergeCell ref="C1996:F1996"/>
    <mergeCell ref="C1997:F1997"/>
    <mergeCell ref="C1998:F1998"/>
    <mergeCell ref="C1999:F1999"/>
    <mergeCell ref="C2000:F2000"/>
    <mergeCell ref="C2001:F2001"/>
    <mergeCell ref="C2033:F2033"/>
    <mergeCell ref="C2034:F2034"/>
    <mergeCell ref="C2035:F2035"/>
    <mergeCell ref="C2036:F2036"/>
    <mergeCell ref="C2037:F2037"/>
    <mergeCell ref="C2018:F2018"/>
    <mergeCell ref="C2019:F2019"/>
    <mergeCell ref="C2020:F2020"/>
    <mergeCell ref="C2021:F2021"/>
    <mergeCell ref="C2022:F2022"/>
    <mergeCell ref="C2023:F2023"/>
    <mergeCell ref="C2024:F2024"/>
    <mergeCell ref="C2025:F2025"/>
    <mergeCell ref="C2026:F2026"/>
    <mergeCell ref="C2027:F2027"/>
    <mergeCell ref="C2028:F2028"/>
    <mergeCell ref="C2029:F2029"/>
    <mergeCell ref="C2030:F2030"/>
    <mergeCell ref="C2031:F2031"/>
    <mergeCell ref="C2032:F2032"/>
    <mergeCell ref="C2056:F2056"/>
    <mergeCell ref="C2057:F2057"/>
    <mergeCell ref="C2058:F2058"/>
    <mergeCell ref="C2059:F2059"/>
    <mergeCell ref="C2060:F2060"/>
    <mergeCell ref="C2062:F2062"/>
    <mergeCell ref="C2063:F2063"/>
    <mergeCell ref="C2061:F2061"/>
    <mergeCell ref="C2038:F2038"/>
    <mergeCell ref="C2039:F2039"/>
    <mergeCell ref="C2040:F2040"/>
    <mergeCell ref="C2041:F2041"/>
    <mergeCell ref="C2042:F2042"/>
    <mergeCell ref="C2043:F2043"/>
    <mergeCell ref="C2044:F2044"/>
    <mergeCell ref="C2045:F2045"/>
    <mergeCell ref="C2046:F2046"/>
    <mergeCell ref="C2047:F2047"/>
    <mergeCell ref="C2048:F2048"/>
    <mergeCell ref="C2049:F2049"/>
    <mergeCell ref="C2050:F2050"/>
    <mergeCell ref="C2051:F2051"/>
    <mergeCell ref="C2052:F2052"/>
    <mergeCell ref="C2054:F2054"/>
    <mergeCell ref="C2055:F2055"/>
    <mergeCell ref="C2053:F2053"/>
    <mergeCell ref="C2064:F2064"/>
    <mergeCell ref="C2065:F2065"/>
    <mergeCell ref="C2066:F2066"/>
    <mergeCell ref="C2067:F2067"/>
    <mergeCell ref="C2068:F2068"/>
    <mergeCell ref="C2069:F2069"/>
    <mergeCell ref="C2070:F2070"/>
    <mergeCell ref="C2072:F2072"/>
    <mergeCell ref="C2073:F2073"/>
    <mergeCell ref="C2074:F2074"/>
    <mergeCell ref="C2075:F2075"/>
    <mergeCell ref="C2076:F2076"/>
    <mergeCell ref="C2077:F2077"/>
    <mergeCell ref="C2078:F2078"/>
    <mergeCell ref="C2079:F2079"/>
    <mergeCell ref="C2080:F2080"/>
    <mergeCell ref="C2081:F2081"/>
    <mergeCell ref="C2071:F2071"/>
    <mergeCell ref="C2093:F2093"/>
    <mergeCell ref="C2095:F2095"/>
    <mergeCell ref="C2097:F2097"/>
    <mergeCell ref="C2092:F2092"/>
    <mergeCell ref="C2094:F2094"/>
    <mergeCell ref="C2096:F2096"/>
    <mergeCell ref="C2098:F2098"/>
    <mergeCell ref="C2102:F2102"/>
    <mergeCell ref="C2103:F2103"/>
    <mergeCell ref="C2099:F2099"/>
    <mergeCell ref="C2082:F2082"/>
    <mergeCell ref="C2083:F2083"/>
    <mergeCell ref="C2084:F2084"/>
    <mergeCell ref="C2085:F2085"/>
    <mergeCell ref="C2086:F2086"/>
    <mergeCell ref="C2087:F2087"/>
    <mergeCell ref="C2088:F2088"/>
    <mergeCell ref="C2089:F2089"/>
    <mergeCell ref="C2090:F2090"/>
    <mergeCell ref="C2091:F2091"/>
    <mergeCell ref="G2103:O2103"/>
    <mergeCell ref="C2104:F2104"/>
    <mergeCell ref="C2105:F2105"/>
    <mergeCell ref="C2106:F2106"/>
    <mergeCell ref="C2107:F2107"/>
    <mergeCell ref="C2108:F2108"/>
    <mergeCell ref="C2109:F2109"/>
    <mergeCell ref="C2110:F2110"/>
    <mergeCell ref="C2111:F2111"/>
    <mergeCell ref="C2112:F2112"/>
    <mergeCell ref="C2113:F2113"/>
    <mergeCell ref="C2114:F2114"/>
    <mergeCell ref="C2115:F2115"/>
    <mergeCell ref="C2116:F2116"/>
    <mergeCell ref="C2117:F2117"/>
    <mergeCell ref="C2118:F2118"/>
    <mergeCell ref="C2119:F2119"/>
    <mergeCell ref="C2120:F2120"/>
    <mergeCell ref="C2121:F2121"/>
    <mergeCell ref="C2122:F2122"/>
    <mergeCell ref="C2123:F2123"/>
    <mergeCell ref="C2124:F2124"/>
    <mergeCell ref="C2125:F2125"/>
    <mergeCell ref="C2126:F2126"/>
    <mergeCell ref="C2127:F2127"/>
    <mergeCell ref="C2128:F2128"/>
    <mergeCell ref="C2129:F2129"/>
    <mergeCell ref="C2130:F2130"/>
    <mergeCell ref="C2131:F2131"/>
    <mergeCell ref="C2132:F2132"/>
    <mergeCell ref="C2133:F2133"/>
    <mergeCell ref="C2134:F2134"/>
    <mergeCell ref="C2135:F2135"/>
    <mergeCell ref="C2136:F2136"/>
    <mergeCell ref="C2137:F2137"/>
    <mergeCell ref="C2138:F2138"/>
    <mergeCell ref="C2139:F2139"/>
    <mergeCell ref="C2140:F2140"/>
    <mergeCell ref="C2141:F2141"/>
    <mergeCell ref="C2142:F2142"/>
    <mergeCell ref="C2143:F2143"/>
    <mergeCell ref="C2144:F2144"/>
    <mergeCell ref="C2145:F2145"/>
    <mergeCell ref="C2146:F2146"/>
    <mergeCell ref="C2147:F2147"/>
    <mergeCell ref="C2148:F2148"/>
    <mergeCell ref="C2149:F2149"/>
    <mergeCell ref="C2150:F2150"/>
    <mergeCell ref="C2151:F2151"/>
    <mergeCell ref="C2152:F2152"/>
    <mergeCell ref="C2153:F2153"/>
    <mergeCell ref="G2184:O2184"/>
    <mergeCell ref="C2185:F2185"/>
    <mergeCell ref="C2186:F2186"/>
    <mergeCell ref="C2187:F2187"/>
    <mergeCell ref="C2188:F2188"/>
    <mergeCell ref="C2181:F2181"/>
    <mergeCell ref="C2182:F2182"/>
    <mergeCell ref="C2154:F2154"/>
    <mergeCell ref="C2155:F2155"/>
    <mergeCell ref="C2156:F2156"/>
    <mergeCell ref="C2157:F2157"/>
    <mergeCell ref="C2158:F2158"/>
    <mergeCell ref="C2159:F2159"/>
    <mergeCell ref="C2160:F2160"/>
    <mergeCell ref="C2161:F2161"/>
    <mergeCell ref="C2162:F2162"/>
    <mergeCell ref="C2163:F2163"/>
    <mergeCell ref="C2164:F2164"/>
    <mergeCell ref="C2179:F2179"/>
    <mergeCell ref="C2180:F2180"/>
    <mergeCell ref="C2189:F2189"/>
    <mergeCell ref="C2190:F2190"/>
    <mergeCell ref="C2191:F2191"/>
    <mergeCell ref="C2192:F2192"/>
    <mergeCell ref="C2193:F2193"/>
    <mergeCell ref="C2194:F2194"/>
    <mergeCell ref="C2195:F2195"/>
    <mergeCell ref="C2196:F2196"/>
    <mergeCell ref="C2197:F2197"/>
    <mergeCell ref="C2198:F2198"/>
    <mergeCell ref="C2199:F2199"/>
    <mergeCell ref="C2200:F2200"/>
    <mergeCell ref="C2201:F2201"/>
    <mergeCell ref="C2202:F2202"/>
    <mergeCell ref="C2203:F2203"/>
    <mergeCell ref="C2204:F2204"/>
    <mergeCell ref="C2165:F2165"/>
    <mergeCell ref="C2166:F2166"/>
    <mergeCell ref="C2167:F2167"/>
    <mergeCell ref="C2168:F2168"/>
    <mergeCell ref="C2169:F2169"/>
    <mergeCell ref="C2170:F2170"/>
    <mergeCell ref="C2171:F2171"/>
    <mergeCell ref="C2172:F2172"/>
    <mergeCell ref="C2173:F2173"/>
    <mergeCell ref="C2183:F2183"/>
    <mergeCell ref="C2184:F2184"/>
    <mergeCell ref="C2174:F2174"/>
    <mergeCell ref="C2175:F2175"/>
    <mergeCell ref="C2176:F2176"/>
    <mergeCell ref="C2177:F2177"/>
    <mergeCell ref="C2178:F2178"/>
    <mergeCell ref="C2220:F2220"/>
    <mergeCell ref="C2221:F2221"/>
    <mergeCell ref="C2222:F2222"/>
    <mergeCell ref="C2223:F2223"/>
    <mergeCell ref="C2224:F2224"/>
    <mergeCell ref="C2225:F2225"/>
    <mergeCell ref="C2226:F2226"/>
    <mergeCell ref="C2227:F2227"/>
    <mergeCell ref="C2228:F2228"/>
    <mergeCell ref="C2229:F2229"/>
    <mergeCell ref="C2230:F2230"/>
    <mergeCell ref="C2231:F2231"/>
    <mergeCell ref="C2232:F2232"/>
    <mergeCell ref="C2233:F2233"/>
    <mergeCell ref="C2234:F2234"/>
    <mergeCell ref="C2205:F2205"/>
    <mergeCell ref="C2206:F2206"/>
    <mergeCell ref="C2207:F2207"/>
    <mergeCell ref="C2208:F2208"/>
    <mergeCell ref="C2209:F2209"/>
    <mergeCell ref="C2210:F2210"/>
    <mergeCell ref="C2211:F2211"/>
    <mergeCell ref="C2212:F2212"/>
    <mergeCell ref="C2213:F2213"/>
    <mergeCell ref="C2214:F2214"/>
    <mergeCell ref="C2215:F2215"/>
    <mergeCell ref="C2216:F2216"/>
    <mergeCell ref="C2217:F2217"/>
    <mergeCell ref="C2218:F2218"/>
    <mergeCell ref="C2219:F2219"/>
    <mergeCell ref="C2235:F2235"/>
    <mergeCell ref="C2236:F2236"/>
    <mergeCell ref="C2237:F2237"/>
    <mergeCell ref="C2238:F2238"/>
    <mergeCell ref="C2239:F2239"/>
    <mergeCell ref="C2240:F2240"/>
    <mergeCell ref="A2241:O2241"/>
    <mergeCell ref="C2242:F2242"/>
    <mergeCell ref="C2243:F2243"/>
    <mergeCell ref="G2243:O2243"/>
    <mergeCell ref="C2244:F2244"/>
    <mergeCell ref="C2245:F2245"/>
    <mergeCell ref="C2246:F2246"/>
    <mergeCell ref="C2247:F2247"/>
    <mergeCell ref="C2253:F2253"/>
    <mergeCell ref="C2254:F2254"/>
    <mergeCell ref="C2248:F2248"/>
    <mergeCell ref="C2249:F2249"/>
    <mergeCell ref="C2250:F2250"/>
    <mergeCell ref="C2251:F2251"/>
    <mergeCell ref="C2252:F2252"/>
    <mergeCell ref="C2255:F2255"/>
    <mergeCell ref="C2256:F2256"/>
    <mergeCell ref="C2257:F2257"/>
    <mergeCell ref="C2258:F2258"/>
    <mergeCell ref="C2259:F2259"/>
    <mergeCell ref="C2300:F2300"/>
    <mergeCell ref="C2301:F2301"/>
    <mergeCell ref="C2302:F2302"/>
    <mergeCell ref="C2303:F2303"/>
    <mergeCell ref="C2304:F2304"/>
    <mergeCell ref="C2305:F2305"/>
    <mergeCell ref="C2306:F2306"/>
    <mergeCell ref="C2307:F2307"/>
    <mergeCell ref="C2308:F2308"/>
    <mergeCell ref="C2309:F2309"/>
    <mergeCell ref="C2310:F2310"/>
    <mergeCell ref="C2260:F2260"/>
    <mergeCell ref="C2261:F2261"/>
    <mergeCell ref="C2264:F2264"/>
    <mergeCell ref="C2265:F2265"/>
    <mergeCell ref="C2268:F2268"/>
    <mergeCell ref="C2269:F2269"/>
    <mergeCell ref="C2272:F2272"/>
    <mergeCell ref="C2273:F2273"/>
    <mergeCell ref="C2276:F2276"/>
    <mergeCell ref="C2277:F2277"/>
    <mergeCell ref="C2278:F2278"/>
    <mergeCell ref="C2279:F2279"/>
    <mergeCell ref="C2280:F2280"/>
    <mergeCell ref="C2281:F2281"/>
    <mergeCell ref="C2288:F2288"/>
    <mergeCell ref="C2282:F2282"/>
    <mergeCell ref="C2311:F2311"/>
    <mergeCell ref="C2312:F2312"/>
    <mergeCell ref="C2313:F2313"/>
    <mergeCell ref="C2314:F2314"/>
    <mergeCell ref="C2315:F2315"/>
    <mergeCell ref="C2316:F2316"/>
    <mergeCell ref="C2317:F2317"/>
    <mergeCell ref="C2318:F2318"/>
    <mergeCell ref="C2319:F2319"/>
    <mergeCell ref="C2320:F2320"/>
    <mergeCell ref="C2321:F2321"/>
    <mergeCell ref="C2322:F2322"/>
    <mergeCell ref="C2323:F2323"/>
    <mergeCell ref="C2324:F2324"/>
    <mergeCell ref="C2325:F2325"/>
    <mergeCell ref="C2326:F2326"/>
    <mergeCell ref="C2327:F2327"/>
    <mergeCell ref="C2328:F2328"/>
    <mergeCell ref="C2329:F2329"/>
    <mergeCell ref="C2330:F2330"/>
    <mergeCell ref="C2331:F2331"/>
    <mergeCell ref="C2332:F2332"/>
    <mergeCell ref="C2333:F2333"/>
    <mergeCell ref="C2334:F2334"/>
    <mergeCell ref="C2335:F2335"/>
    <mergeCell ref="C2336:F2336"/>
    <mergeCell ref="C2337:F2337"/>
    <mergeCell ref="C2338:F2338"/>
    <mergeCell ref="C2339:F2339"/>
    <mergeCell ref="C2340:F2340"/>
    <mergeCell ref="C2341:F2341"/>
    <mergeCell ref="C2342:F2342"/>
    <mergeCell ref="C2343:F2343"/>
    <mergeCell ref="C2344:F2344"/>
    <mergeCell ref="C2345:F2345"/>
    <mergeCell ref="C2346:F2346"/>
    <mergeCell ref="C2347:F2347"/>
    <mergeCell ref="C2348:F2348"/>
    <mergeCell ref="C2349:F2349"/>
    <mergeCell ref="C2350:F2350"/>
    <mergeCell ref="C2351:F2351"/>
    <mergeCell ref="C2352:F2352"/>
    <mergeCell ref="C2353:F2353"/>
    <mergeCell ref="C2354:F2354"/>
    <mergeCell ref="C2355:F2355"/>
    <mergeCell ref="C2356:F2356"/>
    <mergeCell ref="C2357:F2357"/>
    <mergeCell ref="C2358:F2358"/>
    <mergeCell ref="C2359:F2359"/>
    <mergeCell ref="C2360:F2360"/>
    <mergeCell ref="C2361:F2361"/>
    <mergeCell ref="C2362:F2362"/>
    <mergeCell ref="C2363:F2363"/>
    <mergeCell ref="C2364:F2364"/>
    <mergeCell ref="C2365:F2365"/>
    <mergeCell ref="C2366:F2366"/>
    <mergeCell ref="C2367:F2367"/>
    <mergeCell ref="C2368:F2368"/>
    <mergeCell ref="C2369:F2369"/>
    <mergeCell ref="C2370:F2370"/>
    <mergeCell ref="C2371:F2371"/>
    <mergeCell ref="C2372:F2372"/>
    <mergeCell ref="C2373:F2373"/>
    <mergeCell ref="C2374:F2374"/>
    <mergeCell ref="C2375:F2375"/>
    <mergeCell ref="C2376:F2376"/>
    <mergeCell ref="C2377:F2377"/>
    <mergeCell ref="C2378:F2378"/>
    <mergeCell ref="C2379:F2379"/>
    <mergeCell ref="C2380:F2380"/>
    <mergeCell ref="C2381:F2381"/>
    <mergeCell ref="C2382:F2382"/>
    <mergeCell ref="C2383:F2383"/>
    <mergeCell ref="C2384:F2384"/>
    <mergeCell ref="C2385:F2385"/>
    <mergeCell ref="C2386:F2386"/>
    <mergeCell ref="C2387:F2387"/>
    <mergeCell ref="C2388:F2388"/>
    <mergeCell ref="C2389:F2389"/>
    <mergeCell ref="C2390:F2390"/>
    <mergeCell ref="C2391:F2391"/>
    <mergeCell ref="C2392:F2392"/>
    <mergeCell ref="C2393:F2393"/>
    <mergeCell ref="C2394:F2394"/>
    <mergeCell ref="C2395:F2395"/>
    <mergeCell ref="C2396:F2396"/>
    <mergeCell ref="C2397:F2397"/>
    <mergeCell ref="C2398:F2398"/>
    <mergeCell ref="C2399:F2399"/>
    <mergeCell ref="C2400:F2400"/>
    <mergeCell ref="C2401:F2401"/>
    <mergeCell ref="C2402:F2402"/>
    <mergeCell ref="C2403:F2403"/>
    <mergeCell ref="C2404:F2404"/>
    <mergeCell ref="C2405:F2405"/>
    <mergeCell ref="C2406:F2406"/>
    <mergeCell ref="C2407:F2407"/>
    <mergeCell ref="C2408:F2408"/>
    <mergeCell ref="C2409:F2409"/>
    <mergeCell ref="C2410:F2410"/>
    <mergeCell ref="C2411:F2411"/>
    <mergeCell ref="C2412:F2412"/>
    <mergeCell ref="C2413:F2413"/>
    <mergeCell ref="C2414:F2414"/>
    <mergeCell ref="C2415:F2415"/>
    <mergeCell ref="C2441:F2441"/>
    <mergeCell ref="C2442:F2442"/>
    <mergeCell ref="C2443:F2443"/>
    <mergeCell ref="C2444:F2444"/>
    <mergeCell ref="C2445:F2445"/>
    <mergeCell ref="C2446:F2446"/>
    <mergeCell ref="C2447:F2447"/>
    <mergeCell ref="C2448:F2448"/>
    <mergeCell ref="C2439:F2439"/>
    <mergeCell ref="C2416:F2416"/>
    <mergeCell ref="C2417:F2417"/>
    <mergeCell ref="C2418:F2418"/>
    <mergeCell ref="C2419:F2419"/>
    <mergeCell ref="C2433:F2433"/>
    <mergeCell ref="C2434:F2434"/>
    <mergeCell ref="C2435:F2435"/>
    <mergeCell ref="C2436:F2436"/>
    <mergeCell ref="C2420:F2420"/>
    <mergeCell ref="C2421:F2421"/>
    <mergeCell ref="C2422:F2422"/>
    <mergeCell ref="C2423:F2423"/>
    <mergeCell ref="C2424:F2424"/>
    <mergeCell ref="C2425:F2425"/>
    <mergeCell ref="C2427:F2427"/>
    <mergeCell ref="C2428:F2428"/>
    <mergeCell ref="C2429:F2429"/>
    <mergeCell ref="C2430:F2430"/>
    <mergeCell ref="C2431:F2431"/>
    <mergeCell ref="C2426:F2426"/>
    <mergeCell ref="C2437:F2437"/>
    <mergeCell ref="C2438:F2438"/>
    <mergeCell ref="C2449:F2449"/>
    <mergeCell ref="C2450:F2450"/>
    <mergeCell ref="C2451:F2451"/>
    <mergeCell ref="C2452:F2452"/>
    <mergeCell ref="C2453:F2453"/>
    <mergeCell ref="C2454:F2454"/>
    <mergeCell ref="C2455:F2455"/>
    <mergeCell ref="C2456:F2456"/>
    <mergeCell ref="C2457:F2457"/>
    <mergeCell ref="C2458:F2458"/>
    <mergeCell ref="C2459:F2459"/>
    <mergeCell ref="C2460:F2460"/>
    <mergeCell ref="C2461:F2461"/>
    <mergeCell ref="C2462:F2462"/>
    <mergeCell ref="C2463:F2463"/>
    <mergeCell ref="C2440:F2440"/>
    <mergeCell ref="C2500:F2500"/>
    <mergeCell ref="C2505:F2505"/>
    <mergeCell ref="C2506:F2506"/>
    <mergeCell ref="C2507:F2507"/>
    <mergeCell ref="C2508:F2508"/>
    <mergeCell ref="C2509:F2509"/>
    <mergeCell ref="C2510:F2510"/>
    <mergeCell ref="C2511:F2511"/>
    <mergeCell ref="C2512:F2512"/>
    <mergeCell ref="C2513:F2513"/>
    <mergeCell ref="C2514:F2514"/>
    <mergeCell ref="C2515:F2515"/>
    <mergeCell ref="C2516:F2516"/>
    <mergeCell ref="C2517:F2517"/>
    <mergeCell ref="C2518:F2518"/>
    <mergeCell ref="C2519:F2519"/>
    <mergeCell ref="C2482:F2482"/>
    <mergeCell ref="C2483:F2483"/>
    <mergeCell ref="C2484:F2484"/>
    <mergeCell ref="C2485:F2485"/>
    <mergeCell ref="C2486:F2486"/>
    <mergeCell ref="C2487:F2487"/>
    <mergeCell ref="C2488:F2488"/>
    <mergeCell ref="C2489:F2489"/>
    <mergeCell ref="C2490:F2490"/>
    <mergeCell ref="C2491:F2491"/>
    <mergeCell ref="C2492:F2492"/>
    <mergeCell ref="C2493:F2493"/>
    <mergeCell ref="C2494:F2494"/>
    <mergeCell ref="C2495:F2495"/>
    <mergeCell ref="C2496:F2496"/>
    <mergeCell ref="C2497:F2497"/>
    <mergeCell ref="C2520:F2520"/>
    <mergeCell ref="C2533:F2533"/>
    <mergeCell ref="C2534:F2534"/>
    <mergeCell ref="C2537:F2537"/>
    <mergeCell ref="C2538:F2538"/>
    <mergeCell ref="C2540:F2540"/>
    <mergeCell ref="C2541:F2541"/>
    <mergeCell ref="G2541:O2541"/>
    <mergeCell ref="C2522:F2522"/>
    <mergeCell ref="C2521:F2521"/>
    <mergeCell ref="C2524:F2524"/>
    <mergeCell ref="C2525:F2525"/>
    <mergeCell ref="C2545:F2545"/>
    <mergeCell ref="C2549:F2549"/>
    <mergeCell ref="C2542:F2542"/>
    <mergeCell ref="C2543:F2543"/>
    <mergeCell ref="C2544:F2544"/>
    <mergeCell ref="C2546:F2546"/>
    <mergeCell ref="C2547:F2547"/>
    <mergeCell ref="C2548:F2548"/>
    <mergeCell ref="C2535:F2535"/>
    <mergeCell ref="C2536:F2536"/>
    <mergeCell ref="C2529:F2529"/>
    <mergeCell ref="C2530:F2530"/>
    <mergeCell ref="C2531:F2531"/>
    <mergeCell ref="C2532:F2532"/>
    <mergeCell ref="C2527:F2527"/>
    <mergeCell ref="C2528:F2528"/>
    <mergeCell ref="C2523:F2523"/>
    <mergeCell ref="C2526:F2526"/>
    <mergeCell ref="C2560:F2560"/>
    <mergeCell ref="C2561:F2561"/>
    <mergeCell ref="G2561:O2561"/>
    <mergeCell ref="C2562:F2562"/>
    <mergeCell ref="C2563:F2563"/>
    <mergeCell ref="C2566:F2566"/>
    <mergeCell ref="C2568:F2568"/>
    <mergeCell ref="C2569:F2569"/>
    <mergeCell ref="C2570:F2570"/>
    <mergeCell ref="C2558:F2558"/>
    <mergeCell ref="C2559:F2559"/>
    <mergeCell ref="C2556:F2556"/>
    <mergeCell ref="C2557:F2557"/>
    <mergeCell ref="C2554:F2554"/>
    <mergeCell ref="C2555:F2555"/>
    <mergeCell ref="C2550:F2550"/>
    <mergeCell ref="C2551:F2551"/>
    <mergeCell ref="C2564:F2564"/>
    <mergeCell ref="C2565:F2565"/>
    <mergeCell ref="C2572:F2572"/>
    <mergeCell ref="C2573:F2573"/>
    <mergeCell ref="C2574:F2574"/>
    <mergeCell ref="C2575:F2575"/>
    <mergeCell ref="C2576:F2576"/>
    <mergeCell ref="C2577:F2577"/>
    <mergeCell ref="C2578:F2578"/>
    <mergeCell ref="C2579:F2579"/>
    <mergeCell ref="C2580:F2580"/>
    <mergeCell ref="C2581:F2581"/>
    <mergeCell ref="C2582:F2582"/>
    <mergeCell ref="C2583:F2583"/>
    <mergeCell ref="C2584:F2584"/>
    <mergeCell ref="C2602:F2602"/>
    <mergeCell ref="C2603:F2603"/>
    <mergeCell ref="C2604:F2604"/>
    <mergeCell ref="C2567:F2567"/>
    <mergeCell ref="C2571:F2571"/>
    <mergeCell ref="C2605:F2605"/>
    <mergeCell ref="C2606:F2606"/>
    <mergeCell ref="C2607:F2607"/>
    <mergeCell ref="C2608:F2608"/>
    <mergeCell ref="C2609:F2609"/>
    <mergeCell ref="C2610:F2610"/>
    <mergeCell ref="C2585:F2585"/>
    <mergeCell ref="C2586:F2586"/>
    <mergeCell ref="C2587:F2587"/>
    <mergeCell ref="C2588:F2588"/>
    <mergeCell ref="C2589:F2589"/>
    <mergeCell ref="C2590:F2590"/>
    <mergeCell ref="C2591:F2591"/>
    <mergeCell ref="C2592:F2592"/>
    <mergeCell ref="C2593:F2593"/>
    <mergeCell ref="C2594:F2594"/>
    <mergeCell ref="C2595:F2595"/>
    <mergeCell ref="C2596:F2596"/>
    <mergeCell ref="C2597:F2597"/>
    <mergeCell ref="C2598:F2598"/>
    <mergeCell ref="C2599:F2599"/>
    <mergeCell ref="C2600:F2600"/>
    <mergeCell ref="C2601:F2601"/>
    <mergeCell ref="C2611:F2611"/>
    <mergeCell ref="C2612:F2612"/>
    <mergeCell ref="C2613:F2613"/>
    <mergeCell ref="C2614:F2614"/>
    <mergeCell ref="C2615:F2615"/>
    <mergeCell ref="C2616:F2616"/>
    <mergeCell ref="C2617:F2617"/>
    <mergeCell ref="C2618:F2618"/>
    <mergeCell ref="G2618:O2618"/>
    <mergeCell ref="C2619:F2619"/>
    <mergeCell ref="C2620:F2620"/>
    <mergeCell ref="C2621:F2621"/>
    <mergeCell ref="C2622:F2622"/>
    <mergeCell ref="C2623:F2623"/>
    <mergeCell ref="C2624:F2624"/>
    <mergeCell ref="C2643:F2643"/>
    <mergeCell ref="C2641:F2641"/>
    <mergeCell ref="C2640:F2640"/>
    <mergeCell ref="C2625:F2625"/>
    <mergeCell ref="C2626:F2626"/>
    <mergeCell ref="C2627:F2627"/>
    <mergeCell ref="C2628:F2628"/>
    <mergeCell ref="C2629:F2629"/>
    <mergeCell ref="C2630:F2630"/>
    <mergeCell ref="C2631:F2631"/>
    <mergeCell ref="C2632:F2632"/>
    <mergeCell ref="C2633:F2633"/>
    <mergeCell ref="C2634:F2634"/>
    <mergeCell ref="C2635:F2635"/>
    <mergeCell ref="C2636:F2636"/>
    <mergeCell ref="C2637:F2637"/>
    <mergeCell ref="C2638:F2638"/>
    <mergeCell ref="C2644:F2644"/>
    <mergeCell ref="C2645:F2645"/>
    <mergeCell ref="C2646:F2646"/>
    <mergeCell ref="C2647:F2647"/>
    <mergeCell ref="C2657:F2657"/>
    <mergeCell ref="C2658:F2658"/>
    <mergeCell ref="C2659:F2659"/>
    <mergeCell ref="C2660:F2660"/>
    <mergeCell ref="C2661:F2661"/>
    <mergeCell ref="C2662:F2662"/>
    <mergeCell ref="C2663:F2663"/>
    <mergeCell ref="C2664:F2664"/>
    <mergeCell ref="C2665:F2665"/>
    <mergeCell ref="C2666:F2666"/>
    <mergeCell ref="C2667:F2667"/>
    <mergeCell ref="C2668:F2668"/>
    <mergeCell ref="C2669:F2669"/>
    <mergeCell ref="C2648:F2648"/>
    <mergeCell ref="C2649:F2649"/>
    <mergeCell ref="C2650:F2650"/>
    <mergeCell ref="C2652:F2652"/>
    <mergeCell ref="C2651:F2651"/>
    <mergeCell ref="C2654:F2654"/>
    <mergeCell ref="C2655:F2655"/>
    <mergeCell ref="C2656:F2656"/>
    <mergeCell ref="C2670:F2670"/>
    <mergeCell ref="C2671:F2671"/>
    <mergeCell ref="C2672:F2672"/>
    <mergeCell ref="C2673:F2673"/>
    <mergeCell ref="C2674:F2674"/>
    <mergeCell ref="C2675:F2675"/>
    <mergeCell ref="C2676:F2676"/>
    <mergeCell ref="C2681:F2681"/>
    <mergeCell ref="C2682:F2682"/>
    <mergeCell ref="C2688:F2688"/>
    <mergeCell ref="C2689:F2689"/>
    <mergeCell ref="C2695:F2695"/>
    <mergeCell ref="C2696:F2696"/>
    <mergeCell ref="C2697:F2697"/>
    <mergeCell ref="C2698:F2698"/>
    <mergeCell ref="C2699:F2699"/>
    <mergeCell ref="C2700:F2700"/>
    <mergeCell ref="C2677:F2677"/>
    <mergeCell ref="C2678:F2678"/>
    <mergeCell ref="C2679:F2679"/>
    <mergeCell ref="C2680:F2680"/>
    <mergeCell ref="C2683:F2683"/>
    <mergeCell ref="C2684:F2684"/>
    <mergeCell ref="C2685:F2685"/>
    <mergeCell ref="C2686:F2686"/>
    <mergeCell ref="C2687:F2687"/>
    <mergeCell ref="C2693:F2693"/>
    <mergeCell ref="C2694:F2694"/>
    <mergeCell ref="C2690:F2690"/>
    <mergeCell ref="C2691:F2691"/>
    <mergeCell ref="C2692:F2692"/>
    <mergeCell ref="C2724:F2724"/>
    <mergeCell ref="C2725:F2725"/>
    <mergeCell ref="C2726:F2726"/>
    <mergeCell ref="C2727:F2727"/>
    <mergeCell ref="C2702:F2702"/>
    <mergeCell ref="C2703:F2703"/>
    <mergeCell ref="C2704:F2704"/>
    <mergeCell ref="C2705:F2705"/>
    <mergeCell ref="C2713:F2713"/>
    <mergeCell ref="C2714:F2714"/>
    <mergeCell ref="G2714:O2714"/>
    <mergeCell ref="C2715:F2715"/>
    <mergeCell ref="C2716:F2716"/>
    <mergeCell ref="C2717:F2717"/>
    <mergeCell ref="C2718:F2718"/>
    <mergeCell ref="C2719:F2719"/>
    <mergeCell ref="C2720:F2720"/>
    <mergeCell ref="C2722:F2722"/>
    <mergeCell ref="C2723:F2723"/>
    <mergeCell ref="C2706:F2706"/>
    <mergeCell ref="C2707:F2707"/>
    <mergeCell ref="C2708:F2708"/>
    <mergeCell ref="C2709:F2709"/>
    <mergeCell ref="C2710:F2710"/>
    <mergeCell ref="C2711:F2711"/>
    <mergeCell ref="C2712:F2712"/>
    <mergeCell ref="C2721:F2721"/>
    <mergeCell ref="C2745:F2745"/>
    <mergeCell ref="C2747:F2747"/>
    <mergeCell ref="C2744:F2744"/>
    <mergeCell ref="C2746:F2746"/>
    <mergeCell ref="C2748:F2748"/>
    <mergeCell ref="C2749:F2749"/>
    <mergeCell ref="C2750:F2750"/>
    <mergeCell ref="C2728:F2728"/>
    <mergeCell ref="C2729:F2729"/>
    <mergeCell ref="C2730:F2730"/>
    <mergeCell ref="C2731:F2731"/>
    <mergeCell ref="C2732:F2732"/>
    <mergeCell ref="C2733:F2733"/>
    <mergeCell ref="C2734:F2734"/>
    <mergeCell ref="C2735:F2735"/>
    <mergeCell ref="C2736:F2736"/>
    <mergeCell ref="C2737:F2737"/>
    <mergeCell ref="C2738:F2738"/>
    <mergeCell ref="C2739:F2739"/>
    <mergeCell ref="C2740:F2740"/>
    <mergeCell ref="C2741:F2741"/>
    <mergeCell ref="C2742:F2742"/>
    <mergeCell ref="C2743:F2743"/>
    <mergeCell ref="C2751:F2751"/>
    <mergeCell ref="C2752:F2752"/>
    <mergeCell ref="C2753:F2753"/>
    <mergeCell ref="C2754:F2754"/>
    <mergeCell ref="C2755:F2755"/>
    <mergeCell ref="C2756:F2756"/>
    <mergeCell ref="C2757:F2757"/>
    <mergeCell ref="C2758:F2758"/>
    <mergeCell ref="C2759:F2759"/>
    <mergeCell ref="C2760:F2760"/>
    <mergeCell ref="C2761:F2761"/>
    <mergeCell ref="C2764:F2764"/>
    <mergeCell ref="C2765:F2765"/>
    <mergeCell ref="C2766:F2766"/>
    <mergeCell ref="C2767:F2767"/>
    <mergeCell ref="C2768:F2768"/>
    <mergeCell ref="C2769:F2769"/>
    <mergeCell ref="C2762:F2762"/>
    <mergeCell ref="C2763:F2763"/>
    <mergeCell ref="C2771:F2771"/>
    <mergeCell ref="C2772:F2772"/>
    <mergeCell ref="C2773:F2773"/>
    <mergeCell ref="C2774:F2774"/>
    <mergeCell ref="C2775:F2775"/>
    <mergeCell ref="C2776:F2776"/>
    <mergeCell ref="C2777:F2777"/>
    <mergeCell ref="C2778:F2778"/>
    <mergeCell ref="C2779:F2779"/>
    <mergeCell ref="C2780:F2780"/>
    <mergeCell ref="C2781:F2781"/>
    <mergeCell ref="C2782:F2782"/>
    <mergeCell ref="C2783:F2783"/>
    <mergeCell ref="C2784:F2784"/>
    <mergeCell ref="C2785:F2785"/>
    <mergeCell ref="C2786:F2786"/>
    <mergeCell ref="C2787:F2787"/>
    <mergeCell ref="C2788:F2788"/>
    <mergeCell ref="C2792:F2792"/>
    <mergeCell ref="C2794:F2794"/>
    <mergeCell ref="C2789:F2789"/>
    <mergeCell ref="C2790:F2790"/>
    <mergeCell ref="C2791:F2791"/>
    <mergeCell ref="C2793:F2793"/>
    <mergeCell ref="C2795:F2795"/>
    <mergeCell ref="C2796:F2796"/>
    <mergeCell ref="C2797:F2797"/>
    <mergeCell ref="C2798:F2798"/>
    <mergeCell ref="C2799:F2799"/>
    <mergeCell ref="C2800:F2800"/>
    <mergeCell ref="C2801:F2801"/>
    <mergeCell ref="C2802:F2802"/>
    <mergeCell ref="C2803:F2803"/>
    <mergeCell ref="C2804:F2804"/>
    <mergeCell ref="C2805:F2805"/>
    <mergeCell ref="C2806:F2806"/>
    <mergeCell ref="C2808:F2808"/>
    <mergeCell ref="C2807:F2807"/>
    <mergeCell ref="C2809:F2809"/>
    <mergeCell ref="C2810:F2810"/>
    <mergeCell ref="C2811:F2811"/>
    <mergeCell ref="C2812:F2812"/>
    <mergeCell ref="C2813:F2813"/>
    <mergeCell ref="C2814:F2814"/>
    <mergeCell ref="C2815:F2815"/>
    <mergeCell ref="C2816:F2816"/>
    <mergeCell ref="C2817:F2817"/>
    <mergeCell ref="C2818:F2818"/>
    <mergeCell ref="C2819:F2819"/>
    <mergeCell ref="C2820:F2820"/>
    <mergeCell ref="C2821:F2821"/>
    <mergeCell ref="C2822:F2822"/>
    <mergeCell ref="C2823:F2823"/>
    <mergeCell ref="C2824:F2824"/>
    <mergeCell ref="C2825:F2825"/>
    <mergeCell ref="C2826:F2826"/>
    <mergeCell ref="C2827:F2827"/>
    <mergeCell ref="C2828:F2828"/>
    <mergeCell ref="A2829:O2829"/>
    <mergeCell ref="C2830:F2830"/>
    <mergeCell ref="C2831:F2831"/>
    <mergeCell ref="G2831:O2831"/>
    <mergeCell ref="C2832:F2832"/>
    <mergeCell ref="C2833:F2833"/>
    <mergeCell ref="C2834:F2834"/>
    <mergeCell ref="C2835:F2835"/>
    <mergeCell ref="C2836:F2836"/>
    <mergeCell ref="C2837:F2837"/>
    <mergeCell ref="C2838:F2838"/>
    <mergeCell ref="C2839:F2839"/>
    <mergeCell ref="C2840:F2840"/>
    <mergeCell ref="C2841:F2841"/>
    <mergeCell ref="C2842:F2842"/>
    <mergeCell ref="C2843:F2843"/>
    <mergeCell ref="C2844:F2844"/>
    <mergeCell ref="C2845:F2845"/>
    <mergeCell ref="C2846:F2846"/>
    <mergeCell ref="C2847:F2847"/>
    <mergeCell ref="C2848:F2848"/>
    <mergeCell ref="C2849:F2849"/>
    <mergeCell ref="C2850:F2850"/>
    <mergeCell ref="C2851:F2851"/>
    <mergeCell ref="C2852:F2852"/>
    <mergeCell ref="C2853:F2853"/>
    <mergeCell ref="C2854:F2854"/>
    <mergeCell ref="C2855:F2855"/>
    <mergeCell ref="C2856:F2856"/>
    <mergeCell ref="C2857:F2857"/>
    <mergeCell ref="C2858:F2858"/>
    <mergeCell ref="C2859:F2859"/>
    <mergeCell ref="C2860:F2860"/>
    <mergeCell ref="C2861:F2861"/>
    <mergeCell ref="C2862:F2862"/>
    <mergeCell ref="C2863:F2863"/>
    <mergeCell ref="C2864:F2864"/>
    <mergeCell ref="C2865:F2865"/>
    <mergeCell ref="C2866:F2866"/>
    <mergeCell ref="C2867:F2867"/>
    <mergeCell ref="C2868:F2868"/>
    <mergeCell ref="C2869:F2869"/>
    <mergeCell ref="C2870:F2870"/>
    <mergeCell ref="C2871:F2871"/>
    <mergeCell ref="C2872:F2872"/>
    <mergeCell ref="C2873:F2873"/>
    <mergeCell ref="C2874:F2874"/>
    <mergeCell ref="C2875:F2875"/>
    <mergeCell ref="C2876:F2876"/>
    <mergeCell ref="C2877:F2877"/>
    <mergeCell ref="C2878:F2878"/>
    <mergeCell ref="C2879:F2879"/>
    <mergeCell ref="C2880:F2880"/>
    <mergeCell ref="C2881:F2881"/>
    <mergeCell ref="C2882:F2882"/>
    <mergeCell ref="C2883:F2883"/>
    <mergeCell ref="C2884:F2884"/>
    <mergeCell ref="C2885:F2885"/>
    <mergeCell ref="C2886:F2886"/>
    <mergeCell ref="C2887:F2887"/>
    <mergeCell ref="C2888:F2888"/>
    <mergeCell ref="C2905:F2905"/>
    <mergeCell ref="C2931:F2931"/>
    <mergeCell ref="C2918:F2918"/>
    <mergeCell ref="C2919:F2919"/>
    <mergeCell ref="C2920:F2920"/>
    <mergeCell ref="C2921:F2921"/>
    <mergeCell ref="C2922:F2922"/>
    <mergeCell ref="C2923:F2923"/>
    <mergeCell ref="C2889:F2889"/>
    <mergeCell ref="C2890:F2890"/>
    <mergeCell ref="C2891:F2891"/>
    <mergeCell ref="C2892:F2892"/>
    <mergeCell ref="C2893:F2893"/>
    <mergeCell ref="G2893:O2893"/>
    <mergeCell ref="C2894:F2894"/>
    <mergeCell ref="C2895:F2895"/>
    <mergeCell ref="C2896:F2896"/>
    <mergeCell ref="C2897:F2897"/>
    <mergeCell ref="C2898:F2898"/>
    <mergeCell ref="C2899:F2899"/>
    <mergeCell ref="C2900:F2900"/>
    <mergeCell ref="C2901:F2901"/>
    <mergeCell ref="C2902:F2902"/>
    <mergeCell ref="C2903:F2903"/>
    <mergeCell ref="C2904:F2904"/>
    <mergeCell ref="C2906:F2906"/>
    <mergeCell ref="C2907:F2907"/>
    <mergeCell ref="C2908:F2908"/>
    <mergeCell ref="C2909:F2909"/>
    <mergeCell ref="C2910:F2910"/>
    <mergeCell ref="C2911:F2911"/>
    <mergeCell ref="C2912:F2912"/>
    <mergeCell ref="C2985:F2985"/>
    <mergeCell ref="C2968:F2968"/>
    <mergeCell ref="C2970:F2970"/>
    <mergeCell ref="C2969:F2969"/>
    <mergeCell ref="C2971:F2971"/>
    <mergeCell ref="C2932:F2932"/>
    <mergeCell ref="C2933:F2933"/>
    <mergeCell ref="C2934:F2934"/>
    <mergeCell ref="C2946:F2946"/>
    <mergeCell ref="C2947:F2947"/>
    <mergeCell ref="C2952:F2952"/>
    <mergeCell ref="C2953:F2953"/>
    <mergeCell ref="G2953:O2953"/>
    <mergeCell ref="C2954:F2954"/>
    <mergeCell ref="C2955:F2955"/>
    <mergeCell ref="C2956:F2956"/>
    <mergeCell ref="C2957:F2957"/>
    <mergeCell ref="C2958:F2958"/>
    <mergeCell ref="C2948:F2948"/>
    <mergeCell ref="C2959:F2959"/>
    <mergeCell ref="C2960:F2960"/>
    <mergeCell ref="C2961:F2961"/>
    <mergeCell ref="C2943:F2943"/>
    <mergeCell ref="C2944:F2944"/>
    <mergeCell ref="C2945:F2945"/>
    <mergeCell ref="C2935:F2935"/>
    <mergeCell ref="C2936:F2936"/>
    <mergeCell ref="C2937:F2937"/>
    <mergeCell ref="C2986:F2986"/>
    <mergeCell ref="C2987:F2987"/>
    <mergeCell ref="C2988:F2988"/>
    <mergeCell ref="C2989:F2989"/>
    <mergeCell ref="C2990:F2990"/>
    <mergeCell ref="C2991:F2991"/>
    <mergeCell ref="C2992:F2992"/>
    <mergeCell ref="C2997:F2997"/>
    <mergeCell ref="C2998:F2998"/>
    <mergeCell ref="G2998:O2998"/>
    <mergeCell ref="C2999:F2999"/>
    <mergeCell ref="C3000:F3000"/>
    <mergeCell ref="C2993:F2993"/>
    <mergeCell ref="C2994:F2994"/>
    <mergeCell ref="C2995:F2995"/>
    <mergeCell ref="C2996:F2996"/>
    <mergeCell ref="C2962:F2962"/>
    <mergeCell ref="C2963:F2963"/>
    <mergeCell ref="C2964:F2964"/>
    <mergeCell ref="C2965:F2965"/>
    <mergeCell ref="C2966:F2966"/>
    <mergeCell ref="C2967:F2967"/>
    <mergeCell ref="C2972:F2972"/>
    <mergeCell ref="C2973:O2973"/>
    <mergeCell ref="C2974:F2974"/>
    <mergeCell ref="C2975:F2975"/>
    <mergeCell ref="C2977:F2977"/>
    <mergeCell ref="C2978:F2978"/>
    <mergeCell ref="C2980:F2980"/>
    <mergeCell ref="C2981:F2981"/>
    <mergeCell ref="C2983:F2983"/>
    <mergeCell ref="C2984:O2984"/>
    <mergeCell ref="C3001:F3001"/>
    <mergeCell ref="C3002:F3002"/>
    <mergeCell ref="C3003:F3003"/>
    <mergeCell ref="C3004:F3004"/>
    <mergeCell ref="C3005:F3005"/>
    <mergeCell ref="C3006:F3006"/>
    <mergeCell ref="C3008:F3008"/>
    <mergeCell ref="C3009:F3009"/>
    <mergeCell ref="C3013:F3013"/>
    <mergeCell ref="G3013:O3013"/>
    <mergeCell ref="C3014:F3014"/>
    <mergeCell ref="C3015:F3015"/>
    <mergeCell ref="C3016:F3016"/>
    <mergeCell ref="C3017:F3017"/>
    <mergeCell ref="C3018:F3018"/>
    <mergeCell ref="C3019:F3019"/>
    <mergeCell ref="C3020:F3020"/>
    <mergeCell ref="C3011:F3011"/>
    <mergeCell ref="C3012:F3012"/>
    <mergeCell ref="C3010:F3010"/>
    <mergeCell ref="C3007:F3007"/>
    <mergeCell ref="C3021:F3021"/>
    <mergeCell ref="C3022:F3022"/>
    <mergeCell ref="C3025:F3025"/>
    <mergeCell ref="C3026:F3026"/>
    <mergeCell ref="C3023:F3023"/>
    <mergeCell ref="C3024:F3024"/>
    <mergeCell ref="C3033:F3033"/>
    <mergeCell ref="C3034:F3034"/>
    <mergeCell ref="C3035:F3035"/>
    <mergeCell ref="C3036:F3036"/>
    <mergeCell ref="G3036:O3036"/>
    <mergeCell ref="C3037:F3037"/>
    <mergeCell ref="C3038:F3038"/>
    <mergeCell ref="C3039:F3039"/>
    <mergeCell ref="C3040:F3040"/>
    <mergeCell ref="C3028:F3028"/>
    <mergeCell ref="C3029:F3029"/>
    <mergeCell ref="C3030:F3030"/>
    <mergeCell ref="C3031:F3031"/>
    <mergeCell ref="C3032:F3032"/>
    <mergeCell ref="C3027:F3027"/>
    <mergeCell ref="C3068:F3068"/>
    <mergeCell ref="C3069:F3069"/>
    <mergeCell ref="C3070:F3070"/>
    <mergeCell ref="C3071:F3071"/>
    <mergeCell ref="C3041:F3041"/>
    <mergeCell ref="C3042:F3042"/>
    <mergeCell ref="C3043:F3043"/>
    <mergeCell ref="C3045:F3045"/>
    <mergeCell ref="C3051:F3051"/>
    <mergeCell ref="C3052:F3052"/>
    <mergeCell ref="C3053:F3053"/>
    <mergeCell ref="C3054:F3054"/>
    <mergeCell ref="C3055:F3055"/>
    <mergeCell ref="C3056:F3056"/>
    <mergeCell ref="C3057:F3057"/>
    <mergeCell ref="C3059:F3059"/>
    <mergeCell ref="C3058:F3058"/>
    <mergeCell ref="C3060:F3060"/>
    <mergeCell ref="C3050:F3050"/>
    <mergeCell ref="C3044:F3044"/>
    <mergeCell ref="C3049:F3049"/>
    <mergeCell ref="C3046:F3046"/>
    <mergeCell ref="C3047:F3047"/>
    <mergeCell ref="C3048:F3048"/>
    <mergeCell ref="C3097:F3097"/>
    <mergeCell ref="C3098:F3098"/>
    <mergeCell ref="C3099:F3099"/>
    <mergeCell ref="C3100:F3100"/>
    <mergeCell ref="C3101:F3101"/>
    <mergeCell ref="C3102:F3102"/>
    <mergeCell ref="C3103:F3103"/>
    <mergeCell ref="C3104:F3104"/>
    <mergeCell ref="C3105:F3105"/>
    <mergeCell ref="C3106:F3106"/>
    <mergeCell ref="C3107:F3107"/>
    <mergeCell ref="C3108:F3108"/>
    <mergeCell ref="C3091:F3091"/>
    <mergeCell ref="C3092:F3092"/>
    <mergeCell ref="C3072:F3072"/>
    <mergeCell ref="C3073:F3073"/>
    <mergeCell ref="G3073:O3073"/>
    <mergeCell ref="C3074:F3074"/>
    <mergeCell ref="G3074:O3074"/>
    <mergeCell ref="C3075:F3075"/>
    <mergeCell ref="C3076:F3076"/>
    <mergeCell ref="C3077:F3077"/>
    <mergeCell ref="C3078:F3078"/>
    <mergeCell ref="C3079:F3079"/>
    <mergeCell ref="C3080:F3080"/>
    <mergeCell ref="C3081:F3081"/>
    <mergeCell ref="C3082:F3082"/>
    <mergeCell ref="C3084:F3084"/>
    <mergeCell ref="C3085:F3085"/>
    <mergeCell ref="C3086:F3086"/>
    <mergeCell ref="C3088:F3088"/>
    <mergeCell ref="C3083:F3083"/>
    <mergeCell ref="G3129:O3129"/>
    <mergeCell ref="C3130:F3130"/>
    <mergeCell ref="G3165:O3165"/>
    <mergeCell ref="C3165:F3165"/>
    <mergeCell ref="C3124:F3124"/>
    <mergeCell ref="C3125:F3125"/>
    <mergeCell ref="C3126:F3126"/>
    <mergeCell ref="C3127:F3127"/>
    <mergeCell ref="C3128:F3128"/>
    <mergeCell ref="C3129:F3129"/>
    <mergeCell ref="C3145:F3145"/>
    <mergeCell ref="C3146:F3146"/>
    <mergeCell ref="C3147:F3147"/>
    <mergeCell ref="C3150:F3150"/>
    <mergeCell ref="C3151:F3151"/>
    <mergeCell ref="C3152:F3152"/>
    <mergeCell ref="C3153:F3153"/>
    <mergeCell ref="C3154:F3154"/>
    <mergeCell ref="G3166:O3166"/>
    <mergeCell ref="C3131:F3131"/>
    <mergeCell ref="C3132:F3132"/>
    <mergeCell ref="C3133:F3133"/>
    <mergeCell ref="A3134:O3134"/>
    <mergeCell ref="C3135:F3135"/>
    <mergeCell ref="C3136:F3136"/>
    <mergeCell ref="G3136:O3136"/>
    <mergeCell ref="C3137:F3137"/>
    <mergeCell ref="C3138:F3138"/>
    <mergeCell ref="C3139:F3139"/>
    <mergeCell ref="G3139:O3139"/>
    <mergeCell ref="C3140:F3140"/>
    <mergeCell ref="C3141:F3141"/>
    <mergeCell ref="C3142:F3142"/>
    <mergeCell ref="C3143:F3143"/>
    <mergeCell ref="C3144:F3144"/>
    <mergeCell ref="C3148:F3148"/>
    <mergeCell ref="C3149:F3149"/>
    <mergeCell ref="C3157:F3157"/>
    <mergeCell ref="C3158:F3158"/>
    <mergeCell ref="C3159:F3159"/>
    <mergeCell ref="C3160:F3160"/>
    <mergeCell ref="C3161:F3161"/>
    <mergeCell ref="C3162:F3162"/>
    <mergeCell ref="C3163:F3163"/>
    <mergeCell ref="C3164:F3164"/>
    <mergeCell ref="C3155:F3155"/>
    <mergeCell ref="C3156:F3156"/>
    <mergeCell ref="C3205:F3205"/>
    <mergeCell ref="C3206:F3206"/>
    <mergeCell ref="C3195:F3195"/>
    <mergeCell ref="C3196:F3196"/>
    <mergeCell ref="C3167:F3167"/>
    <mergeCell ref="C3168:F3168"/>
    <mergeCell ref="C3197:F3197"/>
    <mergeCell ref="C3198:F3198"/>
    <mergeCell ref="C3199:F3199"/>
    <mergeCell ref="C3200:F3200"/>
    <mergeCell ref="C3201:F3201"/>
    <mergeCell ref="C3169:F3169"/>
    <mergeCell ref="C3170:F3170"/>
    <mergeCell ref="C3171:F3171"/>
    <mergeCell ref="C3172:F3172"/>
    <mergeCell ref="C3173:F3173"/>
    <mergeCell ref="C3174:F3174"/>
    <mergeCell ref="C3175:F3175"/>
    <mergeCell ref="C3176:F3176"/>
    <mergeCell ref="C3177:F3177"/>
    <mergeCell ref="C3178:F3178"/>
    <mergeCell ref="C3179:F3179"/>
    <mergeCell ref="C3180:F3180"/>
    <mergeCell ref="C1064:F1064"/>
    <mergeCell ref="C1065:F1065"/>
    <mergeCell ref="C1066:F1066"/>
    <mergeCell ref="C3190:F3190"/>
    <mergeCell ref="C3202:F3202"/>
    <mergeCell ref="C1067:F1067"/>
    <mergeCell ref="C1068:F1068"/>
    <mergeCell ref="C1069:F1069"/>
    <mergeCell ref="C1070:F1070"/>
    <mergeCell ref="C1071:F1071"/>
    <mergeCell ref="C3191:F3191"/>
    <mergeCell ref="C3192:F3192"/>
    <mergeCell ref="C3193:F3193"/>
    <mergeCell ref="C1075:F1075"/>
    <mergeCell ref="C1076:F1076"/>
    <mergeCell ref="C3194:F3194"/>
    <mergeCell ref="C3204:F3204"/>
    <mergeCell ref="C3166:F3166"/>
    <mergeCell ref="C3109:F3109"/>
    <mergeCell ref="C3110:F3110"/>
    <mergeCell ref="C3111:F3111"/>
    <mergeCell ref="C3112:F3112"/>
    <mergeCell ref="C3113:F3113"/>
    <mergeCell ref="C3114:F3114"/>
    <mergeCell ref="C3115:F3115"/>
    <mergeCell ref="C3116:F3116"/>
    <mergeCell ref="C3117:F3117"/>
    <mergeCell ref="C3118:F3118"/>
    <mergeCell ref="C3119:F3119"/>
    <mergeCell ref="C3120:F3120"/>
    <mergeCell ref="C3121:F3121"/>
    <mergeCell ref="C3123:F3123"/>
    <mergeCell ref="C1108:F1108"/>
    <mergeCell ref="C1109:F1109"/>
    <mergeCell ref="C1110:F1110"/>
    <mergeCell ref="C1111:F1111"/>
    <mergeCell ref="C1090:F1090"/>
    <mergeCell ref="C1096:F1096"/>
    <mergeCell ref="C1094:F1094"/>
    <mergeCell ref="C1097:F1097"/>
    <mergeCell ref="C1098:F1098"/>
    <mergeCell ref="C1099:F1099"/>
    <mergeCell ref="C1100:F1100"/>
    <mergeCell ref="C1101:F1101"/>
    <mergeCell ref="C1105:F1105"/>
    <mergeCell ref="C1357:F1357"/>
    <mergeCell ref="C1358:F1358"/>
    <mergeCell ref="A1:O1"/>
    <mergeCell ref="C3212:F3212"/>
    <mergeCell ref="B3:H3"/>
    <mergeCell ref="C3207:F3207"/>
    <mergeCell ref="G3207:O3207"/>
    <mergeCell ref="C3210:F3210"/>
    <mergeCell ref="C3211:F3211"/>
    <mergeCell ref="C3203:F3203"/>
    <mergeCell ref="C3181:F3181"/>
    <mergeCell ref="C3182:F3182"/>
    <mergeCell ref="C3183:F3183"/>
    <mergeCell ref="C3184:F3184"/>
    <mergeCell ref="C3185:F3185"/>
    <mergeCell ref="C3186:F3186"/>
    <mergeCell ref="C3187:F3187"/>
    <mergeCell ref="C3188:F3188"/>
    <mergeCell ref="C3189:F3189"/>
    <mergeCell ref="C1363:F1363"/>
    <mergeCell ref="C1397:F1397"/>
    <mergeCell ref="C1106:F1106"/>
    <mergeCell ref="C1102:F1102"/>
    <mergeCell ref="C1103:F1103"/>
    <mergeCell ref="C1128:F1128"/>
    <mergeCell ref="C1124:F1124"/>
    <mergeCell ref="C1125:F1125"/>
    <mergeCell ref="C1126:F1126"/>
    <mergeCell ref="C1127:F1127"/>
    <mergeCell ref="C1205:F1205"/>
    <mergeCell ref="C1206:F1206"/>
    <mergeCell ref="C1199:F1199"/>
    <mergeCell ref="C1208:F1208"/>
    <mergeCell ref="C1215:F1215"/>
    <mergeCell ref="C1221:F1221"/>
    <mergeCell ref="C1222:F1222"/>
    <mergeCell ref="C1171:F1171"/>
    <mergeCell ref="C1172:F1172"/>
    <mergeCell ref="C1151:F1151"/>
    <mergeCell ref="C1138:F1138"/>
    <mergeCell ref="C1114:F1114"/>
    <mergeCell ref="C1115:F1115"/>
    <mergeCell ref="C1112:F1112"/>
    <mergeCell ref="C1116:F1116"/>
    <mergeCell ref="C1117:F1117"/>
    <mergeCell ref="C1118:F1118"/>
    <mergeCell ref="C1119:F1119"/>
    <mergeCell ref="C1364:F1364"/>
    <mergeCell ref="C1365:F1365"/>
    <mergeCell ref="C1122:F1122"/>
    <mergeCell ref="C1107:F1107"/>
    <mergeCell ref="C1366:F1366"/>
    <mergeCell ref="C1367:F1367"/>
    <mergeCell ref="C1368:F1368"/>
    <mergeCell ref="C1369:F1369"/>
    <mergeCell ref="C1223:F1223"/>
    <mergeCell ref="C1202:F1202"/>
    <mergeCell ref="C1203:F1203"/>
    <mergeCell ref="C1204:F1204"/>
    <mergeCell ref="C1418:F1418"/>
    <mergeCell ref="C1400:F1400"/>
    <mergeCell ref="C1401:F1401"/>
    <mergeCell ref="C1402:F1402"/>
    <mergeCell ref="C1403:F1403"/>
    <mergeCell ref="C1413:F1413"/>
    <mergeCell ref="C1415:F1415"/>
    <mergeCell ref="C1416:F1416"/>
    <mergeCell ref="C1392:F1392"/>
    <mergeCell ref="C1396:F1396"/>
    <mergeCell ref="C1394:F1394"/>
    <mergeCell ref="C1395:F1395"/>
    <mergeCell ref="C1393:F1393"/>
    <mergeCell ref="C1391:F1391"/>
    <mergeCell ref="C1404:F1404"/>
    <mergeCell ref="C1378:F1378"/>
    <mergeCell ref="C1379:F1379"/>
    <mergeCell ref="C1380:F1380"/>
    <mergeCell ref="C1345:F1345"/>
    <mergeCell ref="C1360:F1360"/>
    <mergeCell ref="C1361:F1361"/>
    <mergeCell ref="C1388:F1388"/>
    <mergeCell ref="C1359:F1359"/>
    <mergeCell ref="C1362:F1362"/>
    <mergeCell ref="C1423:F1423"/>
    <mergeCell ref="C1424:F1424"/>
    <mergeCell ref="C1450:F1450"/>
    <mergeCell ref="C1432:F1432"/>
    <mergeCell ref="C1433:F1433"/>
    <mergeCell ref="C1449:F1449"/>
    <mergeCell ref="C1441:F1441"/>
    <mergeCell ref="C1442:F1442"/>
    <mergeCell ref="C1443:F1443"/>
    <mergeCell ref="C1431:F1431"/>
    <mergeCell ref="C1406:F1406"/>
    <mergeCell ref="C1407:F1407"/>
    <mergeCell ref="C1408:F1408"/>
    <mergeCell ref="C1409:F1409"/>
    <mergeCell ref="C1410:F1410"/>
    <mergeCell ref="C1411:F1411"/>
    <mergeCell ref="C1412:F1412"/>
    <mergeCell ref="C1427:F1427"/>
    <mergeCell ref="C1428:F1428"/>
    <mergeCell ref="C1429:F1429"/>
    <mergeCell ref="C1430:F1430"/>
    <mergeCell ref="C1435:F1435"/>
    <mergeCell ref="C1436:F1436"/>
    <mergeCell ref="C1437:F1437"/>
    <mergeCell ref="C1438:F1438"/>
    <mergeCell ref="C1439:F1439"/>
    <mergeCell ref="C1440:F1440"/>
    <mergeCell ref="C1444:F1444"/>
    <mergeCell ref="C1419:F1419"/>
    <mergeCell ref="C1420:F1420"/>
    <mergeCell ref="C1421:F1421"/>
    <mergeCell ref="C1422:F1422"/>
    <mergeCell ref="C1533:F1533"/>
    <mergeCell ref="C1534:F1534"/>
    <mergeCell ref="C1535:F1535"/>
    <mergeCell ref="C1537:F1537"/>
    <mergeCell ref="C1539:F1539"/>
    <mergeCell ref="C1467:F1467"/>
    <mergeCell ref="C1503:F1503"/>
    <mergeCell ref="C1459:F1459"/>
    <mergeCell ref="C1460:F1460"/>
    <mergeCell ref="C1451:F1451"/>
    <mergeCell ref="C1452:F1452"/>
    <mergeCell ref="C1453:F1453"/>
    <mergeCell ref="C1454:F1454"/>
    <mergeCell ref="C1445:F1445"/>
    <mergeCell ref="C1456:F1456"/>
    <mergeCell ref="C1457:F1457"/>
    <mergeCell ref="C1458:F1458"/>
    <mergeCell ref="C1478:F1478"/>
    <mergeCell ref="C1472:F1472"/>
    <mergeCell ref="C1482:F1482"/>
    <mergeCell ref="C1483:F1483"/>
    <mergeCell ref="C1484:F1484"/>
    <mergeCell ref="C1485:F1485"/>
    <mergeCell ref="C1486:F1486"/>
    <mergeCell ref="C1489:F1489"/>
    <mergeCell ref="C1490:F1490"/>
    <mergeCell ref="C1491:F1491"/>
    <mergeCell ref="C1492:F1492"/>
    <mergeCell ref="C1493:F1493"/>
    <mergeCell ref="C1481:F1481"/>
    <mergeCell ref="C1487:F1487"/>
    <mergeCell ref="C1488:F1488"/>
    <mergeCell ref="G1744:O1744"/>
    <mergeCell ref="C1745:F1745"/>
    <mergeCell ref="G1562:O1562"/>
    <mergeCell ref="C1602:F1602"/>
    <mergeCell ref="C1601:F1601"/>
    <mergeCell ref="C1600:F1600"/>
    <mergeCell ref="C1599:F1599"/>
    <mergeCell ref="C1598:F1598"/>
    <mergeCell ref="C1597:F1597"/>
    <mergeCell ref="C1705:F1705"/>
    <mergeCell ref="C1706:F1706"/>
    <mergeCell ref="C1707:F1707"/>
    <mergeCell ref="C1708:F1708"/>
    <mergeCell ref="C1709:F1709"/>
    <mergeCell ref="C1710:F1710"/>
    <mergeCell ref="C1711:F1711"/>
    <mergeCell ref="C1743:F1743"/>
    <mergeCell ref="C1744:F1744"/>
    <mergeCell ref="C1671:F1671"/>
    <mergeCell ref="C1596:F1596"/>
    <mergeCell ref="C1595:F1595"/>
    <mergeCell ref="C1680:F1680"/>
    <mergeCell ref="C1578:F1578"/>
    <mergeCell ref="C1579:F1579"/>
    <mergeCell ref="C1691:F1691"/>
    <mergeCell ref="C1663:F1663"/>
    <mergeCell ref="C1664:F1664"/>
    <mergeCell ref="C1643:F1643"/>
    <mergeCell ref="C1646:F1646"/>
    <mergeCell ref="C1699:F1699"/>
    <mergeCell ref="C1590:F1590"/>
    <mergeCell ref="C1589:F1589"/>
    <mergeCell ref="C1880:F1880"/>
    <mergeCell ref="C1881:F1881"/>
    <mergeCell ref="C1882:F1882"/>
    <mergeCell ref="C1883:F1883"/>
    <mergeCell ref="C1884:F1884"/>
    <mergeCell ref="C1885:F1885"/>
    <mergeCell ref="C1886:F1886"/>
    <mergeCell ref="C1887:F1887"/>
    <mergeCell ref="C1931:F1931"/>
    <mergeCell ref="C1932:F1932"/>
    <mergeCell ref="C167:F167"/>
    <mergeCell ref="C1446:F1446"/>
    <mergeCell ref="C1447:F1447"/>
    <mergeCell ref="C1448:F1448"/>
    <mergeCell ref="C1558:F1558"/>
    <mergeCell ref="C1549:F1549"/>
    <mergeCell ref="C1550:F1550"/>
    <mergeCell ref="C1572:F1572"/>
    <mergeCell ref="C1573:F1573"/>
    <mergeCell ref="C1574:F1574"/>
    <mergeCell ref="C1271:F1271"/>
    <mergeCell ref="C1868:F1868"/>
    <mergeCell ref="C1847:F1847"/>
    <mergeCell ref="C645:F645"/>
    <mergeCell ref="C723:F723"/>
    <mergeCell ref="C724:F724"/>
    <mergeCell ref="C725:F725"/>
    <mergeCell ref="C726:F726"/>
    <mergeCell ref="C727:F727"/>
    <mergeCell ref="C728:F728"/>
    <mergeCell ref="C729:F729"/>
    <mergeCell ref="C730:F730"/>
    <mergeCell ref="C87:F87"/>
    <mergeCell ref="C95:F95"/>
    <mergeCell ref="C96:F96"/>
    <mergeCell ref="C97:F97"/>
    <mergeCell ref="C1499:F1499"/>
    <mergeCell ref="C1500:F1500"/>
    <mergeCell ref="C202:F202"/>
    <mergeCell ref="C203:F203"/>
    <mergeCell ref="C204:F204"/>
    <mergeCell ref="C205:F205"/>
    <mergeCell ref="C206:F206"/>
    <mergeCell ref="C207:F207"/>
    <mergeCell ref="C208:F208"/>
    <mergeCell ref="C209:F209"/>
    <mergeCell ref="C210:F210"/>
    <mergeCell ref="C211:F211"/>
    <mergeCell ref="C1310:F1310"/>
    <mergeCell ref="C1327:F1327"/>
    <mergeCell ref="C1331:F1331"/>
    <mergeCell ref="C1264:F1264"/>
    <mergeCell ref="C1267:F1267"/>
    <mergeCell ref="C647:F647"/>
    <mergeCell ref="C648:F648"/>
    <mergeCell ref="C649:F649"/>
    <mergeCell ref="C1091:F1091"/>
    <mergeCell ref="C1095:F1095"/>
    <mergeCell ref="C746:F746"/>
    <mergeCell ref="C747:F747"/>
    <mergeCell ref="C1104:F1104"/>
    <mergeCell ref="C1113:F1113"/>
    <mergeCell ref="C643:F643"/>
    <mergeCell ref="C644:F644"/>
    <mergeCell ref="C1942:F1942"/>
    <mergeCell ref="C1848:F1848"/>
    <mergeCell ref="C1849:F1849"/>
    <mergeCell ref="C1854:F1854"/>
    <mergeCell ref="C1870:F1870"/>
    <mergeCell ref="C1871:F1871"/>
    <mergeCell ref="C1872:F1872"/>
    <mergeCell ref="C1873:F1873"/>
    <mergeCell ref="C1553:F1553"/>
    <mergeCell ref="C1455:F1455"/>
    <mergeCell ref="C1414:F1414"/>
    <mergeCell ref="C1522:F1522"/>
    <mergeCell ref="C1554:F1554"/>
    <mergeCell ref="C1935:F1935"/>
    <mergeCell ref="C1936:F1936"/>
    <mergeCell ref="C1575:F1575"/>
    <mergeCell ref="C1123:F1123"/>
    <mergeCell ref="C1188:F1188"/>
    <mergeCell ref="C1189:F1189"/>
    <mergeCell ref="C1150:F1150"/>
    <mergeCell ref="C1301:F1301"/>
    <mergeCell ref="C1302:F1302"/>
    <mergeCell ref="C1303:F1303"/>
    <mergeCell ref="C1468:F1468"/>
    <mergeCell ref="C1469:F1469"/>
    <mergeCell ref="C1850:F1850"/>
    <mergeCell ref="C1851:F1851"/>
    <mergeCell ref="C1852:F1852"/>
    <mergeCell ref="C1853:F1853"/>
    <mergeCell ref="C1827:F1827"/>
    <mergeCell ref="C1828:F1828"/>
    <mergeCell ref="C1829:F1829"/>
    <mergeCell ref="C3208:F3208"/>
    <mergeCell ref="C3209:F3209"/>
    <mergeCell ref="C2262:F2262"/>
    <mergeCell ref="C2263:F2263"/>
    <mergeCell ref="C2270:F2270"/>
    <mergeCell ref="C2271:F2271"/>
    <mergeCell ref="C2266:F2266"/>
    <mergeCell ref="C2267:F2267"/>
    <mergeCell ref="C2274:F2274"/>
    <mergeCell ref="C2275:F2275"/>
    <mergeCell ref="C1319:F1319"/>
    <mergeCell ref="C1320:F1320"/>
    <mergeCell ref="C1576:F1576"/>
    <mergeCell ref="C1577:F1577"/>
    <mergeCell ref="C1524:F1524"/>
    <mergeCell ref="C1523:F1523"/>
    <mergeCell ref="C1855:F1855"/>
    <mergeCell ref="C1498:F1498"/>
    <mergeCell ref="C1504:F1504"/>
    <mergeCell ref="C1502:F1502"/>
    <mergeCell ref="C1562:F1562"/>
    <mergeCell ref="C1563:F1563"/>
    <mergeCell ref="C1561:F1561"/>
    <mergeCell ref="C1560:F1560"/>
    <mergeCell ref="C1538:F1538"/>
    <mergeCell ref="C1540:F1540"/>
    <mergeCell ref="C1605:F1605"/>
    <mergeCell ref="C1606:F1606"/>
    <mergeCell ref="C1607:F1607"/>
    <mergeCell ref="C1338:F1338"/>
    <mergeCell ref="C1650:F1650"/>
    <mergeCell ref="C1651:F1651"/>
    <mergeCell ref="C631:F631"/>
    <mergeCell ref="C632:F632"/>
    <mergeCell ref="C633:F633"/>
    <mergeCell ref="C634:F634"/>
    <mergeCell ref="C635:F635"/>
    <mergeCell ref="C636:F636"/>
    <mergeCell ref="C637:F637"/>
    <mergeCell ref="C638:F638"/>
    <mergeCell ref="C639:F639"/>
    <mergeCell ref="C640:F640"/>
    <mergeCell ref="C641:F641"/>
    <mergeCell ref="C642:F642"/>
    <mergeCell ref="C696:F696"/>
    <mergeCell ref="C650:F650"/>
    <mergeCell ref="C651:F651"/>
    <mergeCell ref="C652:F652"/>
    <mergeCell ref="C653:F653"/>
    <mergeCell ref="C654:F654"/>
    <mergeCell ref="C655:F655"/>
    <mergeCell ref="C656:F656"/>
    <mergeCell ref="C657:F657"/>
    <mergeCell ref="C658:F658"/>
    <mergeCell ref="C659:F659"/>
    <mergeCell ref="C660:F660"/>
    <mergeCell ref="C661:F661"/>
    <mergeCell ref="C662:F662"/>
    <mergeCell ref="C663:F663"/>
    <mergeCell ref="C664:F664"/>
    <mergeCell ref="C665:F665"/>
    <mergeCell ref="C666:F666"/>
    <mergeCell ref="C798:F798"/>
    <mergeCell ref="C799:F799"/>
    <mergeCell ref="C667:F667"/>
    <mergeCell ref="C668:F668"/>
    <mergeCell ref="C669:F669"/>
    <mergeCell ref="C670:F670"/>
    <mergeCell ref="C671:F671"/>
    <mergeCell ref="C672:F672"/>
    <mergeCell ref="C673:F673"/>
    <mergeCell ref="C674:F674"/>
    <mergeCell ref="C675:F675"/>
    <mergeCell ref="C676:F676"/>
    <mergeCell ref="C677:F677"/>
    <mergeCell ref="C678:F678"/>
    <mergeCell ref="C679:F679"/>
    <mergeCell ref="C791:F791"/>
    <mergeCell ref="C680:F680"/>
    <mergeCell ref="C681:F681"/>
    <mergeCell ref="C682:F682"/>
    <mergeCell ref="C683:F683"/>
    <mergeCell ref="C684:F684"/>
    <mergeCell ref="C685:F685"/>
    <mergeCell ref="C686:F686"/>
    <mergeCell ref="C687:F687"/>
    <mergeCell ref="C688:F688"/>
    <mergeCell ref="C689:F689"/>
    <mergeCell ref="C690:F690"/>
    <mergeCell ref="C691:F691"/>
    <mergeCell ref="C692:F692"/>
    <mergeCell ref="C693:F693"/>
    <mergeCell ref="C694:F694"/>
    <mergeCell ref="C709:F709"/>
    <mergeCell ref="C711:F711"/>
    <mergeCell ref="C789:F789"/>
    <mergeCell ref="C790:F790"/>
    <mergeCell ref="C779:F779"/>
    <mergeCell ref="C780:F780"/>
    <mergeCell ref="C781:F781"/>
    <mergeCell ref="C782:F782"/>
    <mergeCell ref="C783:F783"/>
    <mergeCell ref="C784:F784"/>
    <mergeCell ref="C785:F785"/>
    <mergeCell ref="C786:F786"/>
    <mergeCell ref="C787:F787"/>
    <mergeCell ref="C788:F788"/>
    <mergeCell ref="C704:F704"/>
    <mergeCell ref="C794:F794"/>
    <mergeCell ref="C795:F795"/>
    <mergeCell ref="C778:F778"/>
    <mergeCell ref="C738:F738"/>
    <mergeCell ref="C739:F739"/>
    <mergeCell ref="C740:F740"/>
    <mergeCell ref="C741:F741"/>
    <mergeCell ref="C742:F742"/>
    <mergeCell ref="C743:F743"/>
    <mergeCell ref="C744:F744"/>
    <mergeCell ref="C745:F745"/>
    <mergeCell ref="C706:F706"/>
    <mergeCell ref="C707:F707"/>
    <mergeCell ref="C708:F708"/>
    <mergeCell ref="C710:F710"/>
    <mergeCell ref="C714:F714"/>
    <mergeCell ref="C715:F715"/>
    <mergeCell ref="C717:F717"/>
    <mergeCell ref="C796:F796"/>
    <mergeCell ref="C14:F14"/>
    <mergeCell ref="C15:F15"/>
    <mergeCell ref="R230:U230"/>
    <mergeCell ref="R231:U231"/>
    <mergeCell ref="R232:U232"/>
    <mergeCell ref="R233:U233"/>
    <mergeCell ref="R234:U234"/>
    <mergeCell ref="C249:F249"/>
    <mergeCell ref="C250:F250"/>
    <mergeCell ref="C989:F989"/>
    <mergeCell ref="C990:F990"/>
    <mergeCell ref="C991:F991"/>
    <mergeCell ref="C1603:F1603"/>
    <mergeCell ref="C1604:F1604"/>
    <mergeCell ref="C500:F500"/>
    <mergeCell ref="C1185:F1185"/>
    <mergeCell ref="C501:F501"/>
    <mergeCell ref="C502:F502"/>
    <mergeCell ref="C503:F503"/>
    <mergeCell ref="C792:F792"/>
    <mergeCell ref="C793:F793"/>
    <mergeCell ref="C806:F806"/>
    <mergeCell ref="C807:F807"/>
    <mergeCell ref="C813:F813"/>
    <mergeCell ref="C814:F814"/>
    <mergeCell ref="C928:F928"/>
    <mergeCell ref="C929:F929"/>
    <mergeCell ref="C930:F930"/>
    <mergeCell ref="C925:F925"/>
    <mergeCell ref="C504:F504"/>
    <mergeCell ref="C505:F505"/>
    <mergeCell ref="C506:F506"/>
    <mergeCell ref="C507:F507"/>
    <mergeCell ref="C508:F508"/>
    <mergeCell ref="C509:F509"/>
    <mergeCell ref="C510:F510"/>
    <mergeCell ref="C848:F848"/>
    <mergeCell ref="C849:F849"/>
    <mergeCell ref="C850:F850"/>
    <mergeCell ref="C3095:F3095"/>
    <mergeCell ref="C3096:F3096"/>
    <mergeCell ref="C2002:F2002"/>
    <mergeCell ref="C2003:F2003"/>
    <mergeCell ref="S2002:V2002"/>
    <mergeCell ref="S2003:V2003"/>
    <mergeCell ref="C2004:F2004"/>
    <mergeCell ref="C2005:F2005"/>
    <mergeCell ref="S2007:V2007"/>
    <mergeCell ref="C2006:F2006"/>
    <mergeCell ref="C2011:F2011"/>
    <mergeCell ref="C2012:F2012"/>
    <mergeCell ref="C2013:F2013"/>
    <mergeCell ref="C2100:F2100"/>
    <mergeCell ref="C2101:F2101"/>
    <mergeCell ref="C2642:F2642"/>
    <mergeCell ref="C2498:F2498"/>
    <mergeCell ref="C2464:F2464"/>
    <mergeCell ref="C2466:F2466"/>
    <mergeCell ref="C2467:F2467"/>
    <mergeCell ref="C3087:F3087"/>
    <mergeCell ref="C3089:F3089"/>
    <mergeCell ref="C1190:F1190"/>
    <mergeCell ref="C1191:F1191"/>
    <mergeCell ref="C1652:F1652"/>
    <mergeCell ref="C1693:F1693"/>
    <mergeCell ref="C1694:F1694"/>
    <mergeCell ref="C1501:F1501"/>
    <mergeCell ref="C1268:F1268"/>
    <mergeCell ref="C1269:F1269"/>
    <mergeCell ref="C1270:F1270"/>
    <mergeCell ref="C1541:F1541"/>
    <mergeCell ref="C1542:F1542"/>
    <mergeCell ref="C1543:F1543"/>
    <mergeCell ref="C1544:F1544"/>
    <mergeCell ref="C1695:F1695"/>
    <mergeCell ref="C1466:F1466"/>
    <mergeCell ref="C1696:F1696"/>
    <mergeCell ref="C1697:F1697"/>
    <mergeCell ref="C1339:F1339"/>
    <mergeCell ref="C1340:F1340"/>
    <mergeCell ref="C1496:F1496"/>
    <mergeCell ref="C1497:F1497"/>
    <mergeCell ref="C1434:F1434"/>
    <mergeCell ref="C1557:F1557"/>
    <mergeCell ref="C1461:F1461"/>
    <mergeCell ref="C1462:F1462"/>
    <mergeCell ref="C1470:F1470"/>
    <mergeCell ref="C1471:F1471"/>
    <mergeCell ref="C1555:F1555"/>
    <mergeCell ref="C1556:F1556"/>
    <mergeCell ref="C1545:F1545"/>
    <mergeCell ref="C1546:F1546"/>
    <mergeCell ref="C1547:F1547"/>
    <mergeCell ref="C1531:F1531"/>
    <mergeCell ref="C1532:F1532"/>
    <mergeCell ref="C1738:F1738"/>
    <mergeCell ref="C1739:F1739"/>
    <mergeCell ref="C1740:F1740"/>
    <mergeCell ref="C1741:F1741"/>
    <mergeCell ref="C1742:F1742"/>
    <mergeCell ref="C1425:F1425"/>
    <mergeCell ref="C1426:F1426"/>
    <mergeCell ref="C3090:F3090"/>
    <mergeCell ref="C3093:F3093"/>
    <mergeCell ref="C3094:F3094"/>
    <mergeCell ref="C3061:F3061"/>
    <mergeCell ref="C3062:F3062"/>
    <mergeCell ref="C3063:F3063"/>
    <mergeCell ref="C3064:F3064"/>
    <mergeCell ref="C3066:F3066"/>
    <mergeCell ref="C3065:F3065"/>
    <mergeCell ref="C3067:F3067"/>
    <mergeCell ref="C2499:F2499"/>
    <mergeCell ref="C1934:F1934"/>
    <mergeCell ref="C1943:F1943"/>
    <mergeCell ref="C1944:F1944"/>
    <mergeCell ref="C1945:F1945"/>
    <mergeCell ref="C1946:F1946"/>
    <mergeCell ref="C1947:F1947"/>
    <mergeCell ref="C1948:F1948"/>
    <mergeCell ref="C1949:F1949"/>
    <mergeCell ref="C1856:F1856"/>
    <mergeCell ref="C1505:F1505"/>
    <mergeCell ref="C1506:F1506"/>
    <mergeCell ref="C1479:F1479"/>
    <mergeCell ref="C1494:F1494"/>
    <mergeCell ref="C1495:F1495"/>
  </mergeCells>
  <phoneticPr fontId="42" type="noConversion"/>
  <pageMargins left="0.51181102362204722" right="0.51181102362204722" top="0.39370078740157483" bottom="0.78740157480314965" header="0.51181102362204722" footer="0.51181102362204722"/>
  <pageSetup paperSize="9" scale="40" firstPageNumber="0" orientation="portrait" horizontalDpi="300" verticalDpi="300" r:id="rId1"/>
  <headerFooter alignWithMargins="0"/>
  <rowBreaks count="13" manualBreakCount="13">
    <brk id="212" max="14" man="1"/>
    <brk id="295" max="14" man="1"/>
    <brk id="927" max="14" man="1"/>
    <brk id="1310" max="14" man="1"/>
    <brk id="1414" max="14" man="1"/>
    <brk id="2085" max="16383" man="1"/>
    <brk id="2158" max="14" man="1"/>
    <brk id="2417" max="14" man="1"/>
    <brk id="2508" max="14" man="1"/>
    <brk id="2670" max="14" man="1"/>
    <brk id="2929" max="14" man="1"/>
    <brk id="3022" max="14" man="1"/>
    <brk id="3133" max="14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C105"/>
  <sheetViews>
    <sheetView zoomScale="80" zoomScaleNormal="80" zoomScaleSheetLayoutView="90" workbookViewId="0">
      <selection activeCell="M39" sqref="M39"/>
    </sheetView>
  </sheetViews>
  <sheetFormatPr defaultColWidth="9" defaultRowHeight="15" customHeight="1"/>
  <cols>
    <col min="1" max="1" width="9.7109375" customWidth="1"/>
    <col min="2" max="2" width="10.5703125" customWidth="1"/>
    <col min="3" max="3" width="29" customWidth="1"/>
    <col min="4" max="4" width="17.140625" customWidth="1"/>
    <col min="5" max="5" width="9.28515625" customWidth="1"/>
    <col min="6" max="6" width="15.7109375" customWidth="1"/>
    <col min="7" max="7" width="9.28515625" customWidth="1"/>
    <col min="8" max="11" width="14.5703125" customWidth="1"/>
    <col min="12" max="15" width="16.42578125" customWidth="1"/>
    <col min="16" max="16" width="15" style="157" customWidth="1"/>
    <col min="17" max="17" width="17.5703125" customWidth="1"/>
  </cols>
  <sheetData>
    <row r="1" spans="1:29" s="158" customFormat="1" ht="44.25" customHeight="1">
      <c r="B1" s="159"/>
      <c r="K1" s="160"/>
      <c r="L1" s="160"/>
      <c r="M1" s="160"/>
      <c r="N1" s="160"/>
      <c r="O1" s="160"/>
      <c r="P1" s="161" t="s">
        <v>1083</v>
      </c>
    </row>
    <row r="2" spans="1:29" s="158" customFormat="1" ht="27" customHeight="1">
      <c r="B2" s="1114" t="s">
        <v>2302</v>
      </c>
      <c r="C2" s="1114"/>
      <c r="D2" s="1114"/>
      <c r="E2" s="1114"/>
      <c r="F2" s="1114"/>
      <c r="G2" s="1114"/>
      <c r="H2" s="1114"/>
      <c r="I2" s="1114"/>
      <c r="J2" s="1114"/>
      <c r="K2" s="1114"/>
      <c r="L2" s="1114"/>
      <c r="M2" s="1114"/>
      <c r="N2" s="1114"/>
      <c r="O2" s="1114"/>
      <c r="P2" s="161"/>
    </row>
    <row r="3" spans="1:29" s="158" customFormat="1" ht="24" customHeight="1">
      <c r="B3" s="1115" t="str">
        <f>ORÇAMENTO!A4</f>
        <v>OBRA: CONSTRUÇÃO DO FÓRUM DA COMARCA DE CORURIPE</v>
      </c>
      <c r="C3" s="1115"/>
      <c r="D3" s="1115"/>
      <c r="E3" s="1115"/>
      <c r="F3" s="1115"/>
      <c r="G3" s="1115"/>
      <c r="H3" s="1115"/>
      <c r="I3" s="1115"/>
      <c r="J3" s="1115"/>
      <c r="K3" s="1115"/>
      <c r="L3" s="1115"/>
      <c r="M3" s="1115"/>
      <c r="N3" s="1115"/>
      <c r="O3" s="1115"/>
      <c r="P3" s="161"/>
      <c r="Q3" s="162"/>
    </row>
    <row r="4" spans="1:29" s="158" customFormat="1" ht="18" customHeight="1">
      <c r="B4" s="1116" t="s">
        <v>2303</v>
      </c>
      <c r="C4" s="1116"/>
      <c r="D4" s="1116"/>
      <c r="E4" s="1116"/>
      <c r="F4" s="1116"/>
      <c r="G4" s="1116"/>
      <c r="H4" s="1116"/>
      <c r="I4" s="1116"/>
      <c r="J4" s="1116"/>
      <c r="K4" s="1116"/>
      <c r="L4" s="1116"/>
      <c r="M4" s="1116"/>
      <c r="N4" s="1116"/>
      <c r="O4" s="1116"/>
      <c r="P4" s="161"/>
    </row>
    <row r="5" spans="1:29" s="158" customFormat="1" ht="8.25" customHeight="1">
      <c r="B5" s="163"/>
      <c r="C5" s="164"/>
      <c r="D5" s="164"/>
      <c r="E5" s="164"/>
      <c r="F5" s="165"/>
      <c r="G5" s="164"/>
      <c r="H5" s="164"/>
      <c r="I5" s="166"/>
      <c r="J5" s="164"/>
      <c r="K5" s="167"/>
      <c r="L5" s="167"/>
      <c r="M5" s="167"/>
      <c r="N5" s="167"/>
      <c r="O5" s="167"/>
      <c r="P5" s="161"/>
      <c r="Y5" s="168"/>
    </row>
    <row r="6" spans="1:29" s="158" customFormat="1" ht="17.25" customHeight="1">
      <c r="B6" s="169"/>
      <c r="C6" s="1112"/>
      <c r="D6" s="1112"/>
      <c r="E6" s="1112"/>
      <c r="F6" s="1112"/>
      <c r="G6" s="170"/>
      <c r="H6" s="1113" t="s">
        <v>2304</v>
      </c>
      <c r="I6" s="1113"/>
      <c r="J6" s="1113"/>
      <c r="K6" s="1113"/>
      <c r="L6" s="1113"/>
      <c r="M6" s="171"/>
      <c r="N6" s="171"/>
      <c r="O6" s="172"/>
      <c r="P6" s="161"/>
      <c r="Q6" s="173"/>
    </row>
    <row r="7" spans="1:29" s="174" customFormat="1" ht="22.5" customHeight="1">
      <c r="B7" s="175" t="s">
        <v>13</v>
      </c>
      <c r="C7" s="176" t="s">
        <v>2305</v>
      </c>
      <c r="D7" s="176" t="s">
        <v>2306</v>
      </c>
      <c r="E7" s="176" t="s">
        <v>2307</v>
      </c>
      <c r="F7" s="176" t="s">
        <v>2308</v>
      </c>
      <c r="G7" s="177" t="s">
        <v>20</v>
      </c>
      <c r="H7" s="178" t="s">
        <v>2309</v>
      </c>
      <c r="I7" s="178" t="s">
        <v>2310</v>
      </c>
      <c r="J7" s="178" t="s">
        <v>2311</v>
      </c>
      <c r="K7" s="178" t="s">
        <v>2312</v>
      </c>
      <c r="L7" s="178" t="s">
        <v>2313</v>
      </c>
      <c r="M7" s="178" t="s">
        <v>2314</v>
      </c>
      <c r="N7" s="178" t="s">
        <v>2315</v>
      </c>
      <c r="O7" s="179" t="s">
        <v>2316</v>
      </c>
      <c r="P7" s="180" t="s">
        <v>1083</v>
      </c>
      <c r="Q7" s="181"/>
    </row>
    <row r="8" spans="1:29" s="158" customFormat="1" ht="14.25" customHeight="1">
      <c r="B8" s="182" t="str">
        <f>ORÇAMENTO!C11</f>
        <v>1.00</v>
      </c>
      <c r="C8" s="1110" t="str">
        <f>ORÇAMENTO!D11</f>
        <v>ADMINISTRAÇÃO LOCAL</v>
      </c>
      <c r="D8" s="183">
        <f>ORÇAMENTO!J11</f>
        <v>0</v>
      </c>
      <c r="E8" s="184">
        <v>0</v>
      </c>
      <c r="F8" s="183">
        <f>D8</f>
        <v>0</v>
      </c>
      <c r="G8" s="185" t="e">
        <f>F8/$F$101</f>
        <v>#DIV/0!</v>
      </c>
      <c r="H8" s="186">
        <f t="shared" ref="H8:O8" si="0">ABS($F8*H9)</f>
        <v>0</v>
      </c>
      <c r="I8" s="186">
        <f t="shared" si="0"/>
        <v>0</v>
      </c>
      <c r="J8" s="186">
        <f t="shared" si="0"/>
        <v>0</v>
      </c>
      <c r="K8" s="186">
        <f t="shared" si="0"/>
        <v>0</v>
      </c>
      <c r="L8" s="186">
        <f t="shared" si="0"/>
        <v>0</v>
      </c>
      <c r="M8" s="186">
        <f t="shared" si="0"/>
        <v>0</v>
      </c>
      <c r="N8" s="186">
        <f t="shared" si="0"/>
        <v>0</v>
      </c>
      <c r="O8" s="187">
        <f t="shared" si="0"/>
        <v>0</v>
      </c>
      <c r="P8" s="161"/>
      <c r="Q8" s="188"/>
      <c r="AC8" s="188"/>
    </row>
    <row r="9" spans="1:29" s="158" customFormat="1" ht="14.25">
      <c r="B9" s="182"/>
      <c r="C9" s="1110"/>
      <c r="D9" s="183"/>
      <c r="E9" s="189"/>
      <c r="F9" s="183"/>
      <c r="G9" s="185"/>
      <c r="H9" s="190">
        <f>(100/8)/100</f>
        <v>0.125</v>
      </c>
      <c r="I9" s="190">
        <f t="shared" ref="I9:O9" si="1">(100/8)/100</f>
        <v>0.125</v>
      </c>
      <c r="J9" s="190">
        <f t="shared" si="1"/>
        <v>0.125</v>
      </c>
      <c r="K9" s="190">
        <f t="shared" si="1"/>
        <v>0.125</v>
      </c>
      <c r="L9" s="190">
        <f t="shared" si="1"/>
        <v>0.125</v>
      </c>
      <c r="M9" s="190">
        <f t="shared" si="1"/>
        <v>0.125</v>
      </c>
      <c r="N9" s="190">
        <f t="shared" si="1"/>
        <v>0.125</v>
      </c>
      <c r="O9" s="191">
        <f t="shared" si="1"/>
        <v>0.125</v>
      </c>
      <c r="P9" s="161">
        <f>SUM(H9:O9)</f>
        <v>1</v>
      </c>
      <c r="Q9" s="192"/>
      <c r="AC9" s="188"/>
    </row>
    <row r="10" spans="1:29" s="158" customFormat="1" ht="3.75" customHeight="1">
      <c r="B10" s="621"/>
      <c r="C10" s="622"/>
      <c r="D10" s="623"/>
      <c r="E10" s="624"/>
      <c r="F10" s="623"/>
      <c r="G10" s="625"/>
      <c r="H10" s="877">
        <f t="shared" ref="H10:O10" si="2">H9</f>
        <v>0.125</v>
      </c>
      <c r="I10" s="877">
        <f t="shared" si="2"/>
        <v>0.125</v>
      </c>
      <c r="J10" s="877">
        <f t="shared" si="2"/>
        <v>0.125</v>
      </c>
      <c r="K10" s="877">
        <f t="shared" si="2"/>
        <v>0.125</v>
      </c>
      <c r="L10" s="877">
        <f t="shared" si="2"/>
        <v>0.125</v>
      </c>
      <c r="M10" s="877">
        <f t="shared" si="2"/>
        <v>0.125</v>
      </c>
      <c r="N10" s="877">
        <f t="shared" si="2"/>
        <v>0.125</v>
      </c>
      <c r="O10" s="627">
        <f t="shared" si="2"/>
        <v>0.125</v>
      </c>
      <c r="P10" s="161">
        <f>SUM(H10:O10)</f>
        <v>1</v>
      </c>
      <c r="Q10" s="188"/>
      <c r="AC10" s="188"/>
    </row>
    <row r="11" spans="1:29" s="158" customFormat="1" ht="13.5">
      <c r="A11" s="193"/>
      <c r="B11" s="182" t="str">
        <f>ORÇAMENTO!C19</f>
        <v>2.00</v>
      </c>
      <c r="C11" s="1111" t="str">
        <f>ORÇAMENTO!D19</f>
        <v>SERVIÇOS PRELIMINARES</v>
      </c>
      <c r="D11" s="183">
        <f>ORÇAMENTO!J19</f>
        <v>0</v>
      </c>
      <c r="E11" s="184">
        <v>0</v>
      </c>
      <c r="F11" s="183">
        <f>D11</f>
        <v>0</v>
      </c>
      <c r="G11" s="185" t="e">
        <f>F11/$F$101</f>
        <v>#DIV/0!</v>
      </c>
      <c r="H11" s="186">
        <f>ABS($F11*H12)</f>
        <v>0</v>
      </c>
      <c r="I11" s="186"/>
      <c r="J11" s="186"/>
      <c r="K11" s="186"/>
      <c r="L11" s="186"/>
      <c r="M11" s="186">
        <f>ABS($F11*M12)</f>
        <v>0</v>
      </c>
      <c r="N11" s="186">
        <f>ABS($F11*N12)</f>
        <v>0</v>
      </c>
      <c r="O11" s="187">
        <f>ABS($F11*O12)</f>
        <v>0</v>
      </c>
      <c r="P11" s="161"/>
      <c r="Q11" s="188"/>
      <c r="AC11" s="188"/>
    </row>
    <row r="12" spans="1:29" s="158" customFormat="1" ht="14.25">
      <c r="B12" s="182"/>
      <c r="C12" s="1111"/>
      <c r="D12" s="183"/>
      <c r="E12" s="189"/>
      <c r="F12" s="183"/>
      <c r="G12" s="185"/>
      <c r="H12" s="190">
        <v>0.5</v>
      </c>
      <c r="I12" s="185"/>
      <c r="J12" s="185"/>
      <c r="K12" s="185"/>
      <c r="L12" s="185"/>
      <c r="M12" s="190">
        <v>0.2</v>
      </c>
      <c r="N12" s="190">
        <v>0.2</v>
      </c>
      <c r="O12" s="191">
        <v>0.1</v>
      </c>
      <c r="P12" s="161">
        <f>SUM(H12:O12)</f>
        <v>0.99999999999999989</v>
      </c>
      <c r="Q12" s="192"/>
      <c r="X12" s="195"/>
      <c r="Y12" s="195"/>
      <c r="Z12" s="195"/>
      <c r="AA12" s="195"/>
      <c r="AC12" s="188"/>
    </row>
    <row r="13" spans="1:29" s="158" customFormat="1" ht="3.75" customHeight="1">
      <c r="B13" s="621"/>
      <c r="C13" s="622"/>
      <c r="D13" s="623"/>
      <c r="E13" s="624"/>
      <c r="F13" s="623"/>
      <c r="G13" s="625"/>
      <c r="H13" s="626">
        <f>H12</f>
        <v>0.5</v>
      </c>
      <c r="I13" s="626"/>
      <c r="J13" s="626"/>
      <c r="K13" s="626"/>
      <c r="L13" s="626"/>
      <c r="M13" s="626">
        <f>M12</f>
        <v>0.2</v>
      </c>
      <c r="N13" s="626">
        <f>N12</f>
        <v>0.2</v>
      </c>
      <c r="O13" s="627">
        <f>O12</f>
        <v>0.1</v>
      </c>
      <c r="P13" s="161">
        <f>SUM(I13:L13)</f>
        <v>0</v>
      </c>
      <c r="Q13" s="192"/>
      <c r="X13" s="195"/>
      <c r="Y13" s="195"/>
      <c r="Z13" s="195"/>
      <c r="AA13" s="195"/>
      <c r="AC13" s="188"/>
    </row>
    <row r="14" spans="1:29" s="158" customFormat="1" ht="14.25" customHeight="1">
      <c r="B14" s="182" t="str">
        <f>ORÇAMENTO!C57</f>
        <v>3.00</v>
      </c>
      <c r="C14" s="1106" t="str">
        <f>ORÇAMENTO!D57</f>
        <v>MOVIMENTO DE TERRA E ESCAVAÇÕES</v>
      </c>
      <c r="D14" s="183">
        <f>ORÇAMENTO!J57</f>
        <v>0</v>
      </c>
      <c r="E14" s="184">
        <v>0</v>
      </c>
      <c r="F14" s="183">
        <f>D14</f>
        <v>0</v>
      </c>
      <c r="G14" s="185" t="e">
        <f>F14/$F$101</f>
        <v>#DIV/0!</v>
      </c>
      <c r="H14" s="186">
        <f>ABS($F14*H15)</f>
        <v>0</v>
      </c>
      <c r="I14" s="186">
        <f>ABS($F14*I15)</f>
        <v>0</v>
      </c>
      <c r="J14" s="186">
        <f>ABS($F14*J15)</f>
        <v>0</v>
      </c>
      <c r="K14" s="186"/>
      <c r="L14" s="186"/>
      <c r="M14" s="186"/>
      <c r="N14" s="186">
        <f>ABS($F14*N15)</f>
        <v>0</v>
      </c>
      <c r="O14" s="187">
        <f>ABS($F14*O15)</f>
        <v>0</v>
      </c>
      <c r="P14" s="161"/>
      <c r="Q14" s="188"/>
      <c r="AC14" s="188"/>
    </row>
    <row r="15" spans="1:29" s="158" customFormat="1" ht="14.25">
      <c r="B15" s="182"/>
      <c r="C15" s="1106"/>
      <c r="D15" s="183"/>
      <c r="E15" s="189"/>
      <c r="F15" s="183"/>
      <c r="G15" s="185"/>
      <c r="H15" s="190">
        <v>0.25</v>
      </c>
      <c r="I15" s="190">
        <v>0.25</v>
      </c>
      <c r="J15" s="190">
        <v>0.1</v>
      </c>
      <c r="K15" s="185"/>
      <c r="L15" s="185"/>
      <c r="M15" s="185"/>
      <c r="N15" s="190">
        <v>0.1</v>
      </c>
      <c r="O15" s="191">
        <v>0.3</v>
      </c>
      <c r="P15" s="161">
        <f>SUM(H15:O15)</f>
        <v>1</v>
      </c>
      <c r="Q15" s="192"/>
      <c r="X15" s="195"/>
      <c r="Y15" s="195"/>
      <c r="Z15" s="195"/>
      <c r="AA15" s="195"/>
      <c r="AC15" s="188"/>
    </row>
    <row r="16" spans="1:29" s="158" customFormat="1" ht="3.75" customHeight="1">
      <c r="B16" s="621"/>
      <c r="C16" s="622"/>
      <c r="D16" s="623"/>
      <c r="E16" s="624"/>
      <c r="F16" s="623"/>
      <c r="G16" s="625"/>
      <c r="H16" s="626">
        <f>H15</f>
        <v>0.25</v>
      </c>
      <c r="I16" s="626">
        <f>I15</f>
        <v>0.25</v>
      </c>
      <c r="J16" s="626">
        <f>J15</f>
        <v>0.1</v>
      </c>
      <c r="K16" s="626"/>
      <c r="L16" s="626"/>
      <c r="M16" s="626"/>
      <c r="N16" s="626">
        <f>N15</f>
        <v>0.1</v>
      </c>
      <c r="O16" s="627">
        <f>O15</f>
        <v>0.3</v>
      </c>
      <c r="P16" s="161">
        <f>SUM(H16:O16)</f>
        <v>1</v>
      </c>
      <c r="Q16" s="192"/>
      <c r="X16" s="195"/>
      <c r="Y16" s="195"/>
      <c r="Z16" s="195"/>
      <c r="AA16" s="195"/>
      <c r="AC16" s="188"/>
    </row>
    <row r="17" spans="2:16" s="158" customFormat="1" ht="14.25" customHeight="1">
      <c r="B17" s="182" t="str">
        <f>ORÇAMENTO!C66</f>
        <v>4.00</v>
      </c>
      <c r="C17" s="1106" t="str">
        <f>ORÇAMENTO!D66</f>
        <v>INFRA-ESTRUTURA E FUNDAÇÕES</v>
      </c>
      <c r="D17" s="183">
        <f>ORÇAMENTO!J66</f>
        <v>0</v>
      </c>
      <c r="E17" s="184">
        <f>E14</f>
        <v>0</v>
      </c>
      <c r="F17" s="183">
        <f>D17</f>
        <v>0</v>
      </c>
      <c r="G17" s="185" t="e">
        <f>F17/$F$101</f>
        <v>#DIV/0!</v>
      </c>
      <c r="H17" s="186"/>
      <c r="I17" s="186">
        <f>ABS($F17*I18)</f>
        <v>0</v>
      </c>
      <c r="J17" s="186">
        <f>ABS($F17*J18)</f>
        <v>0</v>
      </c>
      <c r="K17" s="186"/>
      <c r="L17" s="186"/>
      <c r="M17" s="186"/>
      <c r="N17" s="878"/>
      <c r="O17" s="187"/>
      <c r="P17" s="161"/>
    </row>
    <row r="18" spans="2:16" s="158" customFormat="1" ht="13.5">
      <c r="B18" s="182"/>
      <c r="C18" s="1106"/>
      <c r="D18" s="183"/>
      <c r="E18" s="189"/>
      <c r="F18" s="183"/>
      <c r="G18" s="185"/>
      <c r="H18" s="185"/>
      <c r="I18" s="190">
        <v>0.4</v>
      </c>
      <c r="J18" s="190">
        <v>0.6</v>
      </c>
      <c r="K18" s="185"/>
      <c r="L18" s="185"/>
      <c r="M18" s="185"/>
      <c r="N18" s="185"/>
      <c r="O18" s="196"/>
      <c r="P18" s="161">
        <f>SUM(H18:O18)</f>
        <v>1</v>
      </c>
    </row>
    <row r="19" spans="2:16" s="158" customFormat="1" ht="4.5" customHeight="1">
      <c r="B19" s="629"/>
      <c r="C19" s="630"/>
      <c r="D19" s="623"/>
      <c r="E19" s="624"/>
      <c r="F19" s="623"/>
      <c r="G19" s="625"/>
      <c r="H19" s="626"/>
      <c r="I19" s="626">
        <f>I18</f>
        <v>0.4</v>
      </c>
      <c r="J19" s="626">
        <f>J18</f>
        <v>0.6</v>
      </c>
      <c r="K19" s="626"/>
      <c r="L19" s="626"/>
      <c r="M19" s="626"/>
      <c r="N19" s="879"/>
      <c r="O19" s="627"/>
      <c r="P19" s="161">
        <f>SUM(H19:O19)</f>
        <v>1</v>
      </c>
    </row>
    <row r="20" spans="2:16" s="158" customFormat="1" ht="13.5">
      <c r="B20" s="182" t="str">
        <f>ORÇAMENTO!C81</f>
        <v>5.00</v>
      </c>
      <c r="C20" s="1106" t="str">
        <f>ORÇAMENTO!D81</f>
        <v>SUPRA-ESTRUTURA</v>
      </c>
      <c r="D20" s="183">
        <f>ORÇAMENTO!J81</f>
        <v>0</v>
      </c>
      <c r="E20" s="184">
        <f>E17</f>
        <v>0</v>
      </c>
      <c r="F20" s="183">
        <f>D20</f>
        <v>0</v>
      </c>
      <c r="G20" s="185" t="e">
        <f>F20/$F$101</f>
        <v>#DIV/0!</v>
      </c>
      <c r="H20" s="186"/>
      <c r="I20" s="186">
        <f>ABS($F20*I21)</f>
        <v>0</v>
      </c>
      <c r="J20" s="186">
        <f>ABS($F20*J21)</f>
        <v>0</v>
      </c>
      <c r="K20" s="186">
        <f>ABS($F20*K21)</f>
        <v>0</v>
      </c>
      <c r="L20" s="186">
        <f>ABS($F20*L21)</f>
        <v>0</v>
      </c>
      <c r="M20" s="186"/>
      <c r="N20" s="878"/>
      <c r="O20" s="187"/>
      <c r="P20" s="161"/>
    </row>
    <row r="21" spans="2:16" s="158" customFormat="1" ht="13.5">
      <c r="B21" s="182"/>
      <c r="C21" s="1106"/>
      <c r="D21" s="183"/>
      <c r="E21" s="189"/>
      <c r="F21" s="183"/>
      <c r="G21" s="185"/>
      <c r="H21" s="185"/>
      <c r="I21" s="190">
        <v>0.2</v>
      </c>
      <c r="J21" s="190">
        <v>0.3</v>
      </c>
      <c r="K21" s="190">
        <v>0.4</v>
      </c>
      <c r="L21" s="190">
        <v>0.1</v>
      </c>
      <c r="M21" s="185"/>
      <c r="N21" s="185"/>
      <c r="O21" s="196"/>
      <c r="P21" s="161">
        <f>SUM(H21:O21)</f>
        <v>1</v>
      </c>
    </row>
    <row r="22" spans="2:16" s="158" customFormat="1" ht="5.25" customHeight="1">
      <c r="B22" s="629"/>
      <c r="C22" s="630"/>
      <c r="D22" s="623"/>
      <c r="E22" s="624"/>
      <c r="F22" s="623"/>
      <c r="G22" s="625"/>
      <c r="H22" s="626"/>
      <c r="I22" s="626">
        <f>I21</f>
        <v>0.2</v>
      </c>
      <c r="J22" s="626">
        <f>J21</f>
        <v>0.3</v>
      </c>
      <c r="K22" s="626">
        <f>K21</f>
        <v>0.4</v>
      </c>
      <c r="L22" s="626">
        <f>L21</f>
        <v>0.1</v>
      </c>
      <c r="M22" s="626"/>
      <c r="N22" s="879"/>
      <c r="O22" s="627"/>
      <c r="P22" s="161">
        <f>SUM(H22:O22)</f>
        <v>1</v>
      </c>
    </row>
    <row r="23" spans="2:16" s="158" customFormat="1" ht="18.75" customHeight="1">
      <c r="B23" s="182" t="str">
        <f>ORÇAMENTO!C105</f>
        <v>6.00</v>
      </c>
      <c r="C23" s="1106" t="str">
        <f>ORÇAMENTO!D105</f>
        <v>PAREDES E PAINEIS</v>
      </c>
      <c r="D23" s="183">
        <f>ORÇAMENTO!J105</f>
        <v>0</v>
      </c>
      <c r="E23" s="184">
        <f>E20</f>
        <v>0</v>
      </c>
      <c r="F23" s="183">
        <f>D23</f>
        <v>0</v>
      </c>
      <c r="G23" s="185" t="e">
        <f>F23/$F$101</f>
        <v>#DIV/0!</v>
      </c>
      <c r="H23" s="186"/>
      <c r="I23" s="186"/>
      <c r="J23" s="186">
        <f>ABS($F23*J24)</f>
        <v>0</v>
      </c>
      <c r="K23" s="186">
        <f>ABS($F23*K24)</f>
        <v>0</v>
      </c>
      <c r="L23" s="186">
        <f>ABS($F23*L24)</f>
        <v>0</v>
      </c>
      <c r="M23" s="186">
        <f>ABS($F23*M24)</f>
        <v>0</v>
      </c>
      <c r="N23" s="186">
        <f>ABS($F23*N24)</f>
        <v>0</v>
      </c>
      <c r="O23" s="187"/>
      <c r="P23" s="161"/>
    </row>
    <row r="24" spans="2:16" s="158" customFormat="1" ht="13.5">
      <c r="B24" s="182"/>
      <c r="C24" s="1106"/>
      <c r="D24" s="183"/>
      <c r="E24" s="189"/>
      <c r="F24" s="183"/>
      <c r="G24" s="185"/>
      <c r="H24" s="185"/>
      <c r="I24" s="185"/>
      <c r="J24" s="190">
        <v>0.1</v>
      </c>
      <c r="K24" s="190">
        <v>0.2</v>
      </c>
      <c r="L24" s="190">
        <v>0.4</v>
      </c>
      <c r="M24" s="190">
        <v>0.2</v>
      </c>
      <c r="N24" s="190">
        <v>0.1</v>
      </c>
      <c r="O24" s="196"/>
      <c r="P24" s="161">
        <f>SUM(H24:O24)</f>
        <v>1.0000000000000002</v>
      </c>
    </row>
    <row r="25" spans="2:16" s="158" customFormat="1" ht="3" customHeight="1">
      <c r="B25" s="629"/>
      <c r="C25" s="630"/>
      <c r="D25" s="623"/>
      <c r="E25" s="624"/>
      <c r="F25" s="623"/>
      <c r="G25" s="625"/>
      <c r="H25" s="626"/>
      <c r="I25" s="626"/>
      <c r="J25" s="626">
        <f>J24</f>
        <v>0.1</v>
      </c>
      <c r="K25" s="626">
        <f>K24</f>
        <v>0.2</v>
      </c>
      <c r="L25" s="626">
        <f>L24</f>
        <v>0.4</v>
      </c>
      <c r="M25" s="626">
        <f>M24</f>
        <v>0.2</v>
      </c>
      <c r="N25" s="626">
        <f>N24</f>
        <v>0.1</v>
      </c>
      <c r="O25" s="627"/>
      <c r="P25" s="161">
        <f>SUM(H25:O25)</f>
        <v>1.0000000000000002</v>
      </c>
    </row>
    <row r="26" spans="2:16" s="158" customFormat="1" ht="18.75" customHeight="1">
      <c r="B26" s="182" t="str">
        <f>ORÇAMENTO!C119</f>
        <v>7.00</v>
      </c>
      <c r="C26" s="1106" t="str">
        <f>ORÇAMENTO!D119</f>
        <v>COBERTA</v>
      </c>
      <c r="D26" s="183">
        <f>ORÇAMENTO!J119</f>
        <v>0</v>
      </c>
      <c r="E26" s="184">
        <f>E23</f>
        <v>0</v>
      </c>
      <c r="F26" s="183">
        <f>D26</f>
        <v>0</v>
      </c>
      <c r="G26" s="185" t="e">
        <f>F26/$F$101</f>
        <v>#DIV/0!</v>
      </c>
      <c r="H26" s="186"/>
      <c r="I26" s="186"/>
      <c r="J26" s="186"/>
      <c r="K26" s="197"/>
      <c r="L26" s="186">
        <f>ABS($F26*L27)</f>
        <v>0</v>
      </c>
      <c r="M26" s="186">
        <f>ABS($F26*M27)</f>
        <v>0</v>
      </c>
      <c r="N26" s="186">
        <f>ABS($F26*N27)</f>
        <v>0</v>
      </c>
      <c r="O26" s="198"/>
      <c r="P26" s="161"/>
    </row>
    <row r="27" spans="2:16" s="158" customFormat="1" ht="13.5">
      <c r="B27" s="182"/>
      <c r="C27" s="1106"/>
      <c r="D27" s="183"/>
      <c r="E27" s="189"/>
      <c r="F27" s="183"/>
      <c r="G27" s="185"/>
      <c r="H27" s="185"/>
      <c r="I27" s="185"/>
      <c r="J27" s="185"/>
      <c r="K27" s="194"/>
      <c r="L27" s="190">
        <v>0.4</v>
      </c>
      <c r="M27" s="190">
        <v>0.4</v>
      </c>
      <c r="N27" s="190">
        <v>0.2</v>
      </c>
      <c r="O27" s="199"/>
      <c r="P27" s="161">
        <f>SUM(H27:O27)</f>
        <v>1</v>
      </c>
    </row>
    <row r="28" spans="2:16" s="158" customFormat="1" ht="2.25" customHeight="1">
      <c r="B28" s="629"/>
      <c r="C28" s="630"/>
      <c r="D28" s="623"/>
      <c r="E28" s="624"/>
      <c r="F28" s="623"/>
      <c r="G28" s="625"/>
      <c r="H28" s="626"/>
      <c r="I28" s="626"/>
      <c r="J28" s="626"/>
      <c r="K28" s="628"/>
      <c r="L28" s="626">
        <f>L27</f>
        <v>0.4</v>
      </c>
      <c r="M28" s="626">
        <f>M27</f>
        <v>0.4</v>
      </c>
      <c r="N28" s="626">
        <f>N27</f>
        <v>0.2</v>
      </c>
      <c r="O28" s="631"/>
      <c r="P28" s="161">
        <f>SUM(H28:O28)</f>
        <v>1</v>
      </c>
    </row>
    <row r="29" spans="2:16" s="158" customFormat="1" ht="13.5" customHeight="1">
      <c r="B29" s="182" t="str">
        <f>ORÇAMENTO!C129</f>
        <v>8.00</v>
      </c>
      <c r="C29" s="1109" t="str">
        <f>ORÇAMENTO!D129</f>
        <v>IMPERMEABILIZAÇÃO</v>
      </c>
      <c r="D29" s="183">
        <f>ORÇAMENTO!J129</f>
        <v>0</v>
      </c>
      <c r="E29" s="184">
        <f>E26</f>
        <v>0</v>
      </c>
      <c r="F29" s="183">
        <f>D29</f>
        <v>0</v>
      </c>
      <c r="G29" s="185" t="e">
        <f>F29/$F$101</f>
        <v>#DIV/0!</v>
      </c>
      <c r="H29" s="186"/>
      <c r="I29" s="186">
        <f t="shared" ref="I29:N29" si="3">ABS($F29*I30)</f>
        <v>0</v>
      </c>
      <c r="J29" s="186">
        <f t="shared" si="3"/>
        <v>0</v>
      </c>
      <c r="K29" s="186">
        <f t="shared" si="3"/>
        <v>0</v>
      </c>
      <c r="L29" s="186">
        <f t="shared" si="3"/>
        <v>0</v>
      </c>
      <c r="M29" s="186">
        <f t="shared" si="3"/>
        <v>0</v>
      </c>
      <c r="N29" s="186">
        <f t="shared" si="3"/>
        <v>0</v>
      </c>
      <c r="O29" s="187"/>
      <c r="P29" s="161"/>
    </row>
    <row r="30" spans="2:16" s="158" customFormat="1" ht="13.5">
      <c r="B30" s="182"/>
      <c r="C30" s="1109"/>
      <c r="D30" s="183"/>
      <c r="E30" s="189"/>
      <c r="F30" s="183"/>
      <c r="G30" s="185"/>
      <c r="H30" s="185"/>
      <c r="I30" s="190">
        <v>3.5000000000000003E-2</v>
      </c>
      <c r="J30" s="190">
        <v>5.5E-2</v>
      </c>
      <c r="K30" s="190">
        <v>0.21</v>
      </c>
      <c r="L30" s="190">
        <v>0.55000000000000004</v>
      </c>
      <c r="M30" s="190">
        <v>0.1</v>
      </c>
      <c r="N30" s="190">
        <v>0.05</v>
      </c>
      <c r="O30" s="196"/>
      <c r="P30" s="161">
        <f>SUM(H30:O30)</f>
        <v>1</v>
      </c>
    </row>
    <row r="31" spans="2:16" s="158" customFormat="1" ht="3.75" customHeight="1">
      <c r="B31" s="629"/>
      <c r="C31" s="630"/>
      <c r="D31" s="623"/>
      <c r="E31" s="624"/>
      <c r="F31" s="623"/>
      <c r="G31" s="625"/>
      <c r="H31" s="626"/>
      <c r="I31" s="626">
        <f t="shared" ref="I31:N31" si="4">I30</f>
        <v>3.5000000000000003E-2</v>
      </c>
      <c r="J31" s="626">
        <f t="shared" si="4"/>
        <v>5.5E-2</v>
      </c>
      <c r="K31" s="626">
        <f t="shared" si="4"/>
        <v>0.21</v>
      </c>
      <c r="L31" s="626">
        <f t="shared" si="4"/>
        <v>0.55000000000000004</v>
      </c>
      <c r="M31" s="626">
        <f t="shared" si="4"/>
        <v>0.1</v>
      </c>
      <c r="N31" s="626">
        <f t="shared" si="4"/>
        <v>0.05</v>
      </c>
      <c r="O31" s="627"/>
      <c r="P31" s="161">
        <f>SUM(H31:O31)</f>
        <v>1</v>
      </c>
    </row>
    <row r="32" spans="2:16" s="158" customFormat="1" ht="18.75" customHeight="1">
      <c r="B32" s="201" t="str">
        <f>ORÇAMENTO!C136</f>
        <v>9.00</v>
      </c>
      <c r="C32" s="1109" t="str">
        <f>ORÇAMENTO!D136</f>
        <v>ESQUADRIAS E FERRAGENS</v>
      </c>
      <c r="D32" s="334">
        <f>ORÇAMENTO!J136</f>
        <v>0</v>
      </c>
      <c r="E32" s="335">
        <f>E29</f>
        <v>0</v>
      </c>
      <c r="F32" s="334">
        <f>D32</f>
        <v>0</v>
      </c>
      <c r="G32" s="336" t="e">
        <f>F32/$F$101</f>
        <v>#DIV/0!</v>
      </c>
      <c r="H32" s="484"/>
      <c r="I32" s="484"/>
      <c r="J32" s="484">
        <f>ABS($F32*J33)</f>
        <v>0</v>
      </c>
      <c r="K32" s="484">
        <f>ABS($F32*K33)</f>
        <v>0</v>
      </c>
      <c r="L32" s="484">
        <f>ABS($F32*L33)</f>
        <v>0</v>
      </c>
      <c r="M32" s="484">
        <f>ABS($F32*M33)</f>
        <v>0</v>
      </c>
      <c r="N32" s="484">
        <f>ABS($F32*N33)</f>
        <v>0</v>
      </c>
      <c r="O32" s="202"/>
      <c r="P32" s="161"/>
    </row>
    <row r="33" spans="2:17" s="158" customFormat="1" ht="13.5">
      <c r="B33" s="182"/>
      <c r="C33" s="1109"/>
      <c r="D33" s="183"/>
      <c r="E33" s="189"/>
      <c r="F33" s="183"/>
      <c r="G33" s="185"/>
      <c r="H33" s="185"/>
      <c r="I33" s="185"/>
      <c r="J33" s="190">
        <v>6.9000000000000006E-2</v>
      </c>
      <c r="K33" s="190">
        <v>0.16850000000000001</v>
      </c>
      <c r="L33" s="190">
        <v>0.42299999999999999</v>
      </c>
      <c r="M33" s="190">
        <v>0.23949999999999999</v>
      </c>
      <c r="N33" s="190">
        <v>0.1</v>
      </c>
      <c r="O33" s="196"/>
      <c r="P33" s="161">
        <f>SUM(H33:O33)</f>
        <v>0.99999999999999989</v>
      </c>
    </row>
    <row r="34" spans="2:17" s="158" customFormat="1" ht="4.9000000000000004" customHeight="1">
      <c r="B34" s="629"/>
      <c r="C34" s="632"/>
      <c r="D34" s="623"/>
      <c r="E34" s="624"/>
      <c r="F34" s="623"/>
      <c r="G34" s="625"/>
      <c r="H34" s="625"/>
      <c r="I34" s="625"/>
      <c r="J34" s="633">
        <f>J33</f>
        <v>6.9000000000000006E-2</v>
      </c>
      <c r="K34" s="633">
        <f>K33</f>
        <v>0.16850000000000001</v>
      </c>
      <c r="L34" s="633">
        <f>L33</f>
        <v>0.42299999999999999</v>
      </c>
      <c r="M34" s="633">
        <f>M33</f>
        <v>0.23949999999999999</v>
      </c>
      <c r="N34" s="633">
        <f>N33</f>
        <v>0.1</v>
      </c>
      <c r="O34" s="634"/>
      <c r="P34" s="161"/>
    </row>
    <row r="35" spans="2:17" s="158" customFormat="1" ht="13.5" customHeight="1">
      <c r="B35" s="182" t="str">
        <f>ORÇAMENTO!C160</f>
        <v>10.00</v>
      </c>
      <c r="C35" s="1110" t="str">
        <f>ORÇAMENTO!D160</f>
        <v>REVESTIMENTOS - PAREDES E TETOS</v>
      </c>
      <c r="D35" s="183">
        <f>ORÇAMENTO!J160</f>
        <v>0</v>
      </c>
      <c r="E35" s="184">
        <v>0</v>
      </c>
      <c r="F35" s="183">
        <f>D35</f>
        <v>0</v>
      </c>
      <c r="G35" s="185" t="e">
        <f>F35/$F$101</f>
        <v>#DIV/0!</v>
      </c>
      <c r="H35" s="186"/>
      <c r="I35" s="186"/>
      <c r="J35" s="186"/>
      <c r="K35" s="186">
        <f>ABS($F35*K36)</f>
        <v>0</v>
      </c>
      <c r="L35" s="186">
        <f>ABS($F35*L36)</f>
        <v>0</v>
      </c>
      <c r="M35" s="186">
        <f>ABS($F35*M36)</f>
        <v>0</v>
      </c>
      <c r="N35" s="186">
        <f>ABS($F35*N36)</f>
        <v>0</v>
      </c>
      <c r="O35" s="187">
        <f>ABS($F35*O36)</f>
        <v>0</v>
      </c>
      <c r="P35" s="161"/>
    </row>
    <row r="36" spans="2:17" s="158" customFormat="1" ht="13.5">
      <c r="B36" s="182"/>
      <c r="C36" s="1110"/>
      <c r="D36" s="183"/>
      <c r="E36" s="189"/>
      <c r="F36" s="183"/>
      <c r="G36" s="185"/>
      <c r="H36" s="185"/>
      <c r="I36" s="185"/>
      <c r="J36" s="186"/>
      <c r="K36" s="190">
        <v>0.15</v>
      </c>
      <c r="L36" s="190">
        <v>0.35</v>
      </c>
      <c r="M36" s="190">
        <v>0.25</v>
      </c>
      <c r="N36" s="190">
        <v>0.15</v>
      </c>
      <c r="O36" s="191">
        <v>0.1</v>
      </c>
      <c r="P36" s="161">
        <f>SUM(H36:O36)</f>
        <v>1</v>
      </c>
    </row>
    <row r="37" spans="2:17" s="158" customFormat="1" ht="4.9000000000000004" customHeight="1">
      <c r="B37" s="629"/>
      <c r="C37" s="632"/>
      <c r="D37" s="623"/>
      <c r="E37" s="624"/>
      <c r="F37" s="623"/>
      <c r="G37" s="625"/>
      <c r="H37" s="625"/>
      <c r="I37" s="625"/>
      <c r="J37" s="625"/>
      <c r="K37" s="633">
        <f>K36</f>
        <v>0.15</v>
      </c>
      <c r="L37" s="633">
        <f>L36</f>
        <v>0.35</v>
      </c>
      <c r="M37" s="633">
        <f>M36</f>
        <v>0.25</v>
      </c>
      <c r="N37" s="633"/>
      <c r="O37" s="635">
        <f>O36</f>
        <v>0.1</v>
      </c>
      <c r="P37" s="161"/>
    </row>
    <row r="38" spans="2:17" s="158" customFormat="1" ht="13.5">
      <c r="B38" s="182" t="str">
        <f>ORÇAMENTO!C180</f>
        <v>11.00</v>
      </c>
      <c r="C38" s="1108" t="str">
        <f>ORÇAMENTO!D180</f>
        <v>PAVIMENTAÇÕES</v>
      </c>
      <c r="D38" s="183">
        <f>ORÇAMENTO!J180</f>
        <v>0</v>
      </c>
      <c r="E38" s="184">
        <f>E21</f>
        <v>0</v>
      </c>
      <c r="F38" s="183">
        <f>D38</f>
        <v>0</v>
      </c>
      <c r="G38" s="185" t="e">
        <f>F38/$F$101</f>
        <v>#DIV/0!</v>
      </c>
      <c r="H38" s="186"/>
      <c r="I38" s="186"/>
      <c r="J38" s="186"/>
      <c r="K38" s="186">
        <f>ABS($F38*K39)</f>
        <v>0</v>
      </c>
      <c r="L38" s="186">
        <f>ABS($F38*L39)</f>
        <v>0</v>
      </c>
      <c r="M38" s="186">
        <f>ABS($F38*M39)</f>
        <v>0</v>
      </c>
      <c r="N38" s="186">
        <f>ABS($F38*N39)</f>
        <v>0</v>
      </c>
      <c r="O38" s="187">
        <f>ABS($F38*O39)</f>
        <v>0</v>
      </c>
      <c r="P38" s="161"/>
    </row>
    <row r="39" spans="2:17" s="158" customFormat="1" ht="13.5">
      <c r="B39" s="182"/>
      <c r="C39" s="1108"/>
      <c r="D39" s="183"/>
      <c r="E39" s="189"/>
      <c r="F39" s="183"/>
      <c r="G39" s="185"/>
      <c r="H39" s="185"/>
      <c r="I39" s="185"/>
      <c r="J39" s="185"/>
      <c r="K39" s="190">
        <v>0.1</v>
      </c>
      <c r="L39" s="190">
        <v>0.3</v>
      </c>
      <c r="M39" s="190">
        <v>0.4</v>
      </c>
      <c r="N39" s="190">
        <v>0.15</v>
      </c>
      <c r="O39" s="191">
        <v>0.05</v>
      </c>
      <c r="P39" s="161">
        <f>SUM(H39:O39)</f>
        <v>1</v>
      </c>
    </row>
    <row r="40" spans="2:17" s="158" customFormat="1" ht="3.75" customHeight="1">
      <c r="B40" s="629"/>
      <c r="C40" s="632"/>
      <c r="D40" s="623"/>
      <c r="E40" s="636"/>
      <c r="F40" s="623"/>
      <c r="G40" s="625"/>
      <c r="H40" s="626"/>
      <c r="I40" s="626"/>
      <c r="J40" s="626"/>
      <c r="K40" s="626">
        <f>K39</f>
        <v>0.1</v>
      </c>
      <c r="L40" s="626">
        <f>L39</f>
        <v>0.3</v>
      </c>
      <c r="M40" s="626">
        <f>M39</f>
        <v>0.4</v>
      </c>
      <c r="N40" s="626">
        <f>N39</f>
        <v>0.15</v>
      </c>
      <c r="O40" s="627">
        <f>O39</f>
        <v>0.05</v>
      </c>
      <c r="P40" s="161">
        <f>SUM(H40:O40)</f>
        <v>1</v>
      </c>
    </row>
    <row r="41" spans="2:17" s="158" customFormat="1" ht="13.15" customHeight="1">
      <c r="B41" s="182" t="str">
        <f>ORÇAMENTO!C197</f>
        <v>12.00</v>
      </c>
      <c r="C41" s="1109" t="str">
        <f>ORÇAMENTO!D197</f>
        <v>PINTURAS</v>
      </c>
      <c r="D41" s="183">
        <f>ORÇAMENTO!J197</f>
        <v>0</v>
      </c>
      <c r="E41" s="184">
        <v>0</v>
      </c>
      <c r="F41" s="183">
        <f>D41</f>
        <v>0</v>
      </c>
      <c r="G41" s="185" t="e">
        <f>F41/$F$101</f>
        <v>#DIV/0!</v>
      </c>
      <c r="H41" s="186"/>
      <c r="I41" s="186"/>
      <c r="J41" s="197"/>
      <c r="K41" s="186">
        <f>ABS($F41*K42)</f>
        <v>0</v>
      </c>
      <c r="L41" s="186">
        <f>ABS($F41*L42)</f>
        <v>0</v>
      </c>
      <c r="M41" s="186">
        <f>ABS($F41*M42)</f>
        <v>0</v>
      </c>
      <c r="N41" s="186">
        <f>ABS($F41*N42)</f>
        <v>0</v>
      </c>
      <c r="O41" s="187">
        <f>ABS($F41*O42)</f>
        <v>0</v>
      </c>
      <c r="P41" s="161"/>
    </row>
    <row r="42" spans="2:17" s="158" customFormat="1" ht="13.5">
      <c r="B42" s="182"/>
      <c r="C42" s="1109"/>
      <c r="D42" s="183"/>
      <c r="E42" s="189"/>
      <c r="F42" s="183"/>
      <c r="G42" s="185"/>
      <c r="H42" s="185"/>
      <c r="I42" s="185"/>
      <c r="J42" s="194"/>
      <c r="K42" s="190">
        <v>0.1</v>
      </c>
      <c r="L42" s="190">
        <v>0.2</v>
      </c>
      <c r="M42" s="190">
        <v>0.4</v>
      </c>
      <c r="N42" s="190">
        <v>0.2</v>
      </c>
      <c r="O42" s="191">
        <v>0.1</v>
      </c>
      <c r="P42" s="161">
        <f>SUM(H42:O42)</f>
        <v>1.0000000000000002</v>
      </c>
    </row>
    <row r="43" spans="2:17" s="158" customFormat="1" ht="4.9000000000000004" customHeight="1">
      <c r="B43" s="629"/>
      <c r="C43" s="632"/>
      <c r="D43" s="623"/>
      <c r="E43" s="624"/>
      <c r="F43" s="623"/>
      <c r="G43" s="625"/>
      <c r="H43" s="625"/>
      <c r="I43" s="625"/>
      <c r="J43" s="625"/>
      <c r="K43" s="633">
        <f>K42</f>
        <v>0.1</v>
      </c>
      <c r="L43" s="633">
        <f>L42</f>
        <v>0.2</v>
      </c>
      <c r="M43" s="633">
        <f>M42</f>
        <v>0.4</v>
      </c>
      <c r="N43" s="635">
        <f>N42</f>
        <v>0.2</v>
      </c>
      <c r="O43" s="635">
        <f>O42</f>
        <v>0.1</v>
      </c>
      <c r="P43" s="161"/>
    </row>
    <row r="44" spans="2:17" s="158" customFormat="1" ht="14.25" customHeight="1">
      <c r="B44" s="182" t="str">
        <f>ORÇAMENTO!C211</f>
        <v>13.00</v>
      </c>
      <c r="C44" s="1106" t="str">
        <f>ORÇAMENTO!D211</f>
        <v>INSTALAÇÕES HIDRO-SANITÁRIAS</v>
      </c>
      <c r="D44" s="183">
        <f>ORÇAMENTO!J211</f>
        <v>0</v>
      </c>
      <c r="E44" s="184">
        <f>E26</f>
        <v>0</v>
      </c>
      <c r="F44" s="183">
        <f>D44</f>
        <v>0</v>
      </c>
      <c r="G44" s="185" t="e">
        <f>F44/$F$101</f>
        <v>#DIV/0!</v>
      </c>
      <c r="H44" s="186"/>
      <c r="I44" s="186" t="e">
        <f t="shared" ref="I44:O44" si="5">ABS($F44*I45)</f>
        <v>#DIV/0!</v>
      </c>
      <c r="J44" s="186" t="e">
        <f t="shared" si="5"/>
        <v>#DIV/0!</v>
      </c>
      <c r="K44" s="186" t="e">
        <f t="shared" si="5"/>
        <v>#DIV/0!</v>
      </c>
      <c r="L44" s="186" t="e">
        <f t="shared" si="5"/>
        <v>#DIV/0!</v>
      </c>
      <c r="M44" s="186" t="e">
        <f t="shared" si="5"/>
        <v>#DIV/0!</v>
      </c>
      <c r="N44" s="187" t="e">
        <f t="shared" si="5"/>
        <v>#DIV/0!</v>
      </c>
      <c r="O44" s="187" t="e">
        <f t="shared" si="5"/>
        <v>#DIV/0!</v>
      </c>
      <c r="P44" s="161"/>
    </row>
    <row r="45" spans="2:17" s="158" customFormat="1" ht="13.5">
      <c r="B45" s="182"/>
      <c r="C45" s="1106"/>
      <c r="D45" s="183"/>
      <c r="E45" s="189"/>
      <c r="F45" s="183"/>
      <c r="G45" s="185"/>
      <c r="H45" s="185"/>
      <c r="I45" s="190" t="e">
        <f t="shared" ref="I45:O45" si="6">(I47+I50+I53)/$F$44</f>
        <v>#DIV/0!</v>
      </c>
      <c r="J45" s="190" t="e">
        <f t="shared" si="6"/>
        <v>#DIV/0!</v>
      </c>
      <c r="K45" s="190" t="e">
        <f t="shared" si="6"/>
        <v>#DIV/0!</v>
      </c>
      <c r="L45" s="190" t="e">
        <f t="shared" si="6"/>
        <v>#DIV/0!</v>
      </c>
      <c r="M45" s="190" t="e">
        <f t="shared" si="6"/>
        <v>#DIV/0!</v>
      </c>
      <c r="N45" s="191" t="e">
        <f t="shared" ref="N45" si="7">(N47+N50+N53)/$F$44</f>
        <v>#DIV/0!</v>
      </c>
      <c r="O45" s="191" t="e">
        <f t="shared" si="6"/>
        <v>#DIV/0!</v>
      </c>
      <c r="P45" s="161" t="e">
        <f>SUM(H45:O45)</f>
        <v>#DIV/0!</v>
      </c>
      <c r="Q45" s="161" t="e">
        <f>1-P45</f>
        <v>#DIV/0!</v>
      </c>
    </row>
    <row r="46" spans="2:17" s="158" customFormat="1" ht="3.75" customHeight="1">
      <c r="B46" s="629"/>
      <c r="C46" s="630"/>
      <c r="D46" s="623"/>
      <c r="E46" s="624"/>
      <c r="F46" s="623"/>
      <c r="G46" s="625"/>
      <c r="H46" s="626"/>
      <c r="I46" s="626" t="e">
        <f t="shared" ref="I46:O46" si="8">I45</f>
        <v>#DIV/0!</v>
      </c>
      <c r="J46" s="626" t="e">
        <f t="shared" si="8"/>
        <v>#DIV/0!</v>
      </c>
      <c r="K46" s="626" t="e">
        <f t="shared" si="8"/>
        <v>#DIV/0!</v>
      </c>
      <c r="L46" s="626" t="e">
        <f t="shared" si="8"/>
        <v>#DIV/0!</v>
      </c>
      <c r="M46" s="626" t="e">
        <f t="shared" si="8"/>
        <v>#DIV/0!</v>
      </c>
      <c r="N46" s="627" t="e">
        <f t="shared" ref="N46" si="9">N45</f>
        <v>#DIV/0!</v>
      </c>
      <c r="O46" s="627" t="e">
        <f t="shared" si="8"/>
        <v>#DIV/0!</v>
      </c>
      <c r="P46" s="161" t="e">
        <f>SUM(H46:O46)</f>
        <v>#DIV/0!</v>
      </c>
    </row>
    <row r="47" spans="2:17" s="158" customFormat="1" ht="13.5">
      <c r="B47" s="182" t="str">
        <f>ORÇAMENTO!C212</f>
        <v>13.01</v>
      </c>
      <c r="C47" s="1106" t="str">
        <f>ORÇAMENTO!D212</f>
        <v>INSTALAÇÕES HIDRÁULICAS - ÁGUA FRIA</v>
      </c>
      <c r="D47" s="183">
        <f>ORÇAMENTO!J212</f>
        <v>0</v>
      </c>
      <c r="E47" s="184">
        <f>E44</f>
        <v>0</v>
      </c>
      <c r="F47" s="183">
        <f>D47</f>
        <v>0</v>
      </c>
      <c r="G47" s="185"/>
      <c r="H47" s="186"/>
      <c r="I47" s="186">
        <f t="shared" ref="I47:O47" si="10">ABS($F47*I48)</f>
        <v>0</v>
      </c>
      <c r="J47" s="186">
        <f t="shared" si="10"/>
        <v>0</v>
      </c>
      <c r="K47" s="186">
        <f t="shared" si="10"/>
        <v>0</v>
      </c>
      <c r="L47" s="186">
        <f t="shared" si="10"/>
        <v>0</v>
      </c>
      <c r="M47" s="186">
        <f t="shared" si="10"/>
        <v>0</v>
      </c>
      <c r="N47" s="186">
        <f t="shared" si="10"/>
        <v>0</v>
      </c>
      <c r="O47" s="187">
        <f t="shared" si="10"/>
        <v>0</v>
      </c>
      <c r="P47" s="161"/>
    </row>
    <row r="48" spans="2:17" s="158" customFormat="1" ht="13.5">
      <c r="B48" s="182"/>
      <c r="C48" s="1106"/>
      <c r="D48" s="183"/>
      <c r="E48" s="189"/>
      <c r="F48" s="183"/>
      <c r="G48" s="185"/>
      <c r="H48" s="203"/>
      <c r="I48" s="204">
        <v>0.05</v>
      </c>
      <c r="J48" s="204">
        <v>0.1</v>
      </c>
      <c r="K48" s="204">
        <v>0.2</v>
      </c>
      <c r="L48" s="204">
        <v>0.3</v>
      </c>
      <c r="M48" s="204">
        <v>0.2</v>
      </c>
      <c r="N48" s="880">
        <v>0.1</v>
      </c>
      <c r="O48" s="205">
        <v>0.05</v>
      </c>
      <c r="P48" s="161">
        <f>SUM(H48:O48)</f>
        <v>1</v>
      </c>
    </row>
    <row r="49" spans="2:17" s="158" customFormat="1" ht="3.75" customHeight="1">
      <c r="B49" s="629"/>
      <c r="C49" s="630"/>
      <c r="D49" s="623"/>
      <c r="E49" s="624"/>
      <c r="F49" s="623"/>
      <c r="G49" s="625"/>
      <c r="H49" s="626"/>
      <c r="I49" s="626">
        <f t="shared" ref="I49:O49" si="11">I48</f>
        <v>0.05</v>
      </c>
      <c r="J49" s="626">
        <f t="shared" si="11"/>
        <v>0.1</v>
      </c>
      <c r="K49" s="626">
        <f t="shared" si="11"/>
        <v>0.2</v>
      </c>
      <c r="L49" s="626">
        <f t="shared" si="11"/>
        <v>0.3</v>
      </c>
      <c r="M49" s="626">
        <f t="shared" si="11"/>
        <v>0.2</v>
      </c>
      <c r="N49" s="626">
        <f t="shared" si="11"/>
        <v>0.1</v>
      </c>
      <c r="O49" s="627">
        <f t="shared" si="11"/>
        <v>0.05</v>
      </c>
      <c r="P49" s="161">
        <f>SUM(H49:O49)</f>
        <v>1</v>
      </c>
    </row>
    <row r="50" spans="2:17" s="158" customFormat="1" ht="13.5" customHeight="1">
      <c r="B50" s="182" t="str">
        <f>ORÇAMENTO!C259</f>
        <v>13.02</v>
      </c>
      <c r="C50" s="1107" t="str">
        <f>ORÇAMENTO!D259</f>
        <v>INSTALAÇÕES HIDRÁULICAS - ESGOTO E ÁGUAS PLUVIAIS</v>
      </c>
      <c r="D50" s="183">
        <f>ORÇAMENTO!J259</f>
        <v>0</v>
      </c>
      <c r="E50" s="206">
        <f>E47</f>
        <v>0</v>
      </c>
      <c r="F50" s="183">
        <f>D50</f>
        <v>0</v>
      </c>
      <c r="G50" s="185"/>
      <c r="H50" s="186"/>
      <c r="I50" s="186">
        <f t="shared" ref="I50:O50" si="12">ABS($F50*I51)</f>
        <v>0</v>
      </c>
      <c r="J50" s="186">
        <f t="shared" si="12"/>
        <v>0</v>
      </c>
      <c r="K50" s="186">
        <f t="shared" si="12"/>
        <v>0</v>
      </c>
      <c r="L50" s="186">
        <f t="shared" si="12"/>
        <v>0</v>
      </c>
      <c r="M50" s="186">
        <f t="shared" si="12"/>
        <v>0</v>
      </c>
      <c r="N50" s="186">
        <f t="shared" si="12"/>
        <v>0</v>
      </c>
      <c r="O50" s="187">
        <f t="shared" si="12"/>
        <v>0</v>
      </c>
      <c r="P50" s="161"/>
    </row>
    <row r="51" spans="2:17" s="158" customFormat="1" ht="17.25" customHeight="1">
      <c r="B51" s="182"/>
      <c r="C51" s="1107"/>
      <c r="D51" s="183"/>
      <c r="E51" s="207"/>
      <c r="F51" s="183"/>
      <c r="G51" s="185"/>
      <c r="H51" s="203"/>
      <c r="I51" s="204">
        <v>0.05</v>
      </c>
      <c r="J51" s="204">
        <v>0.15</v>
      </c>
      <c r="K51" s="204">
        <v>0.3</v>
      </c>
      <c r="L51" s="204">
        <v>0.2</v>
      </c>
      <c r="M51" s="204">
        <v>0.15</v>
      </c>
      <c r="N51" s="880">
        <v>0.1</v>
      </c>
      <c r="O51" s="205">
        <v>0.05</v>
      </c>
      <c r="P51" s="161">
        <f>SUM(H51:O51)</f>
        <v>1</v>
      </c>
    </row>
    <row r="52" spans="2:17" s="158" customFormat="1" ht="3.75" customHeight="1">
      <c r="B52" s="629"/>
      <c r="C52" s="630"/>
      <c r="D52" s="623"/>
      <c r="E52" s="624"/>
      <c r="F52" s="623"/>
      <c r="G52" s="625"/>
      <c r="H52" s="626"/>
      <c r="I52" s="626">
        <f t="shared" ref="I52:O52" si="13">I51</f>
        <v>0.05</v>
      </c>
      <c r="J52" s="626">
        <f t="shared" si="13"/>
        <v>0.15</v>
      </c>
      <c r="K52" s="626">
        <f t="shared" si="13"/>
        <v>0.3</v>
      </c>
      <c r="L52" s="626">
        <f t="shared" si="13"/>
        <v>0.2</v>
      </c>
      <c r="M52" s="626">
        <f t="shared" si="13"/>
        <v>0.15</v>
      </c>
      <c r="N52" s="626">
        <f t="shared" si="13"/>
        <v>0.1</v>
      </c>
      <c r="O52" s="627">
        <f t="shared" si="13"/>
        <v>0.05</v>
      </c>
      <c r="P52" s="161">
        <f>SUM(H52:O52)</f>
        <v>1</v>
      </c>
    </row>
    <row r="53" spans="2:17" s="158" customFormat="1" ht="13.5" customHeight="1">
      <c r="B53" s="182" t="str">
        <f>ORÇAMENTO!C298</f>
        <v>13.03</v>
      </c>
      <c r="C53" s="1109" t="str">
        <f>ORÇAMENTO!D298</f>
        <v>LOUÇAS E METAIS SANITÁRIOS</v>
      </c>
      <c r="D53" s="183">
        <f>ORÇAMENTO!J298</f>
        <v>0</v>
      </c>
      <c r="E53" s="206">
        <f>E50</f>
        <v>0</v>
      </c>
      <c r="F53" s="183">
        <f>D53</f>
        <v>0</v>
      </c>
      <c r="G53" s="185"/>
      <c r="H53" s="186"/>
      <c r="I53" s="186"/>
      <c r="J53" s="186"/>
      <c r="K53" s="186"/>
      <c r="L53" s="186">
        <f>ABS($F53*L54)</f>
        <v>0</v>
      </c>
      <c r="M53" s="186">
        <f>ABS($F53*M54)</f>
        <v>0</v>
      </c>
      <c r="N53" s="186">
        <f>ABS($F53*N54)</f>
        <v>0</v>
      </c>
      <c r="O53" s="187">
        <f>ABS($F53*O54)</f>
        <v>0</v>
      </c>
      <c r="P53" s="161"/>
    </row>
    <row r="54" spans="2:17" s="158" customFormat="1" ht="17.25" customHeight="1">
      <c r="B54" s="182"/>
      <c r="C54" s="1109"/>
      <c r="D54" s="183"/>
      <c r="E54" s="207"/>
      <c r="F54" s="183"/>
      <c r="G54" s="185"/>
      <c r="H54" s="203"/>
      <c r="I54" s="203"/>
      <c r="J54" s="203"/>
      <c r="K54" s="203"/>
      <c r="L54" s="204">
        <v>0.3</v>
      </c>
      <c r="M54" s="204">
        <v>0.3</v>
      </c>
      <c r="N54" s="880">
        <v>0.3</v>
      </c>
      <c r="O54" s="205">
        <v>0.1</v>
      </c>
      <c r="P54" s="161">
        <f>SUM(H54:O54)</f>
        <v>0.99999999999999989</v>
      </c>
    </row>
    <row r="55" spans="2:17" s="158" customFormat="1" ht="3.75" customHeight="1">
      <c r="B55" s="629"/>
      <c r="C55" s="630"/>
      <c r="D55" s="623"/>
      <c r="E55" s="624"/>
      <c r="F55" s="623"/>
      <c r="G55" s="625"/>
      <c r="H55" s="626"/>
      <c r="I55" s="626"/>
      <c r="J55" s="626"/>
      <c r="K55" s="626"/>
      <c r="L55" s="626">
        <f>L54</f>
        <v>0.3</v>
      </c>
      <c r="M55" s="626">
        <f>M54</f>
        <v>0.3</v>
      </c>
      <c r="N55" s="626">
        <f>N54</f>
        <v>0.3</v>
      </c>
      <c r="O55" s="627">
        <f>O54</f>
        <v>0.1</v>
      </c>
      <c r="P55" s="161">
        <f>SUM(H55:O55)</f>
        <v>0.99999999999999989</v>
      </c>
    </row>
    <row r="56" spans="2:17" s="158" customFormat="1" ht="13.5">
      <c r="B56" s="182" t="str">
        <f>ORÇAMENTO!C315</f>
        <v>14.00</v>
      </c>
      <c r="C56" s="1107" t="str">
        <f>ORÇAMENTO!D315</f>
        <v>INSTALAÇÕES CONTRA INCÊNDIO E PÂNICO</v>
      </c>
      <c r="D56" s="183">
        <f>ORÇAMENTO!J315</f>
        <v>0</v>
      </c>
      <c r="E56" s="184">
        <f>E53</f>
        <v>0</v>
      </c>
      <c r="F56" s="183">
        <f>D56</f>
        <v>0</v>
      </c>
      <c r="G56" s="185" t="e">
        <f>F56/$F$101</f>
        <v>#DIV/0!</v>
      </c>
      <c r="H56" s="186"/>
      <c r="I56" s="186"/>
      <c r="J56" s="186"/>
      <c r="K56" s="197"/>
      <c r="L56" s="197"/>
      <c r="M56" s="186">
        <f>ABS($F56*M57)</f>
        <v>0</v>
      </c>
      <c r="N56" s="186">
        <f>ABS($F56*N57)</f>
        <v>0</v>
      </c>
      <c r="O56" s="187">
        <f>ABS($F56*O57)</f>
        <v>0</v>
      </c>
      <c r="P56" s="161"/>
    </row>
    <row r="57" spans="2:17" s="158" customFormat="1" ht="13.5">
      <c r="B57" s="182"/>
      <c r="C57" s="1107"/>
      <c r="D57" s="183"/>
      <c r="E57" s="189"/>
      <c r="F57" s="183"/>
      <c r="G57" s="185"/>
      <c r="H57" s="185"/>
      <c r="I57" s="185"/>
      <c r="J57" s="185"/>
      <c r="K57" s="194"/>
      <c r="L57" s="194"/>
      <c r="M57" s="190">
        <v>0.33333333329999998</v>
      </c>
      <c r="N57" s="190">
        <v>0.33333333329999998</v>
      </c>
      <c r="O57" s="191">
        <v>0.33333333329999998</v>
      </c>
      <c r="P57" s="161">
        <f>SUM(H57:O57)</f>
        <v>0.99999999989999999</v>
      </c>
    </row>
    <row r="58" spans="2:17" s="158" customFormat="1" ht="3.75" customHeight="1">
      <c r="B58" s="629"/>
      <c r="C58" s="630"/>
      <c r="D58" s="623"/>
      <c r="E58" s="624"/>
      <c r="F58" s="623"/>
      <c r="G58" s="625"/>
      <c r="H58" s="626"/>
      <c r="I58" s="626"/>
      <c r="J58" s="626"/>
      <c r="K58" s="628"/>
      <c r="L58" s="628"/>
      <c r="M58" s="626">
        <f>M57</f>
        <v>0.33333333329999998</v>
      </c>
      <c r="N58" s="626">
        <f>N57</f>
        <v>0.33333333329999998</v>
      </c>
      <c r="O58" s="627">
        <f>O57</f>
        <v>0.33333333329999998</v>
      </c>
      <c r="P58" s="161">
        <f>SUM(H58:O58)</f>
        <v>0.99999999989999999</v>
      </c>
    </row>
    <row r="59" spans="2:17" s="158" customFormat="1" ht="13.5">
      <c r="B59" s="182" t="str">
        <f>ORÇAMENTO!C340</f>
        <v>15.00</v>
      </c>
      <c r="C59" s="1107" t="str">
        <f>ORÇAMENTO!D340</f>
        <v>INSTALAÇÕES ELÉTRICAS, SPDA, CFTV, LOGICA</v>
      </c>
      <c r="D59" s="183">
        <f>ORÇAMENTO!J340</f>
        <v>0</v>
      </c>
      <c r="E59" s="184">
        <f>E56</f>
        <v>0</v>
      </c>
      <c r="F59" s="183">
        <f>D59</f>
        <v>0</v>
      </c>
      <c r="G59" s="185" t="e">
        <f>F59/$F$101</f>
        <v>#DIV/0!</v>
      </c>
      <c r="H59" s="186"/>
      <c r="I59" s="186" t="e">
        <f t="shared" ref="I59:O59" si="14">ABS($F59*I60)</f>
        <v>#DIV/0!</v>
      </c>
      <c r="J59" s="186" t="e">
        <f t="shared" si="14"/>
        <v>#DIV/0!</v>
      </c>
      <c r="K59" s="186" t="e">
        <f t="shared" si="14"/>
        <v>#DIV/0!</v>
      </c>
      <c r="L59" s="186" t="e">
        <f t="shared" si="14"/>
        <v>#DIV/0!</v>
      </c>
      <c r="M59" s="186" t="e">
        <f t="shared" si="14"/>
        <v>#DIV/0!</v>
      </c>
      <c r="N59" s="186">
        <f t="shared" si="14"/>
        <v>0</v>
      </c>
      <c r="O59" s="187">
        <f t="shared" si="14"/>
        <v>0</v>
      </c>
      <c r="P59" s="161"/>
    </row>
    <row r="60" spans="2:17" s="158" customFormat="1" ht="13.5">
      <c r="B60" s="182"/>
      <c r="C60" s="1107"/>
      <c r="D60" s="183"/>
      <c r="E60" s="189"/>
      <c r="F60" s="183"/>
      <c r="G60" s="185"/>
      <c r="H60" s="185"/>
      <c r="I60" s="190" t="e">
        <f t="shared" ref="I60:M60" si="15">(I62+I65+I68+I71+I74+I77+I80+I83)/$F$59</f>
        <v>#DIV/0!</v>
      </c>
      <c r="J60" s="190" t="e">
        <f t="shared" si="15"/>
        <v>#DIV/0!</v>
      </c>
      <c r="K60" s="190" t="e">
        <f t="shared" si="15"/>
        <v>#DIV/0!</v>
      </c>
      <c r="L60" s="190" t="e">
        <f t="shared" si="15"/>
        <v>#DIV/0!</v>
      </c>
      <c r="M60" s="190" t="e">
        <f t="shared" si="15"/>
        <v>#DIV/0!</v>
      </c>
      <c r="N60" s="190">
        <v>0.10502164999999999</v>
      </c>
      <c r="O60" s="191">
        <v>9.4100000000000003E-2</v>
      </c>
      <c r="P60" s="161" t="e">
        <f>SUM(H60:O60)</f>
        <v>#DIV/0!</v>
      </c>
      <c r="Q60" s="161"/>
    </row>
    <row r="61" spans="2:17" s="158" customFormat="1" ht="3.75" customHeight="1">
      <c r="B61" s="629"/>
      <c r="C61" s="630"/>
      <c r="D61" s="623"/>
      <c r="E61" s="624"/>
      <c r="F61" s="623"/>
      <c r="G61" s="625"/>
      <c r="H61" s="626"/>
      <c r="I61" s="626" t="e">
        <f t="shared" ref="I61:N61" si="16">I60</f>
        <v>#DIV/0!</v>
      </c>
      <c r="J61" s="626" t="e">
        <f t="shared" si="16"/>
        <v>#DIV/0!</v>
      </c>
      <c r="K61" s="626" t="e">
        <f t="shared" si="16"/>
        <v>#DIV/0!</v>
      </c>
      <c r="L61" s="626" t="e">
        <f t="shared" si="16"/>
        <v>#DIV/0!</v>
      </c>
      <c r="M61" s="626" t="e">
        <f t="shared" si="16"/>
        <v>#DIV/0!</v>
      </c>
      <c r="N61" s="626">
        <f t="shared" si="16"/>
        <v>0.10502164999999999</v>
      </c>
      <c r="O61" s="627">
        <f t="shared" ref="O61" si="17">O60</f>
        <v>9.4100000000000003E-2</v>
      </c>
      <c r="P61" s="161" t="e">
        <f>SUM(H61:O61)</f>
        <v>#DIV/0!</v>
      </c>
    </row>
    <row r="62" spans="2:17" s="158" customFormat="1" ht="20.25" customHeight="1">
      <c r="B62" s="182" t="str">
        <f>ORÇAMENTO!C341</f>
        <v>15.01</v>
      </c>
      <c r="C62" s="1107" t="str">
        <f>ORÇAMENTO!D341</f>
        <v>SUBESTAÇÃO E ENTRADA DE ENERGIA</v>
      </c>
      <c r="D62" s="183">
        <f>ORÇAMENTO!J341</f>
        <v>0</v>
      </c>
      <c r="E62" s="184">
        <f>E59</f>
        <v>0</v>
      </c>
      <c r="F62" s="183">
        <f>D62</f>
        <v>0</v>
      </c>
      <c r="G62" s="485"/>
      <c r="H62" s="186"/>
      <c r="I62" s="186"/>
      <c r="J62" s="186"/>
      <c r="K62" s="197"/>
      <c r="L62" s="197"/>
      <c r="M62" s="186">
        <f>ABS($F62*M63)</f>
        <v>0</v>
      </c>
      <c r="N62" s="186">
        <f>ABS($F62*N63)</f>
        <v>0</v>
      </c>
      <c r="O62" s="186">
        <f>ABS($F62*O63)</f>
        <v>0</v>
      </c>
      <c r="P62" s="161"/>
    </row>
    <row r="63" spans="2:17" s="158" customFormat="1" ht="13.5">
      <c r="B63" s="182"/>
      <c r="C63" s="1107"/>
      <c r="D63" s="183"/>
      <c r="E63" s="189"/>
      <c r="F63" s="183"/>
      <c r="G63" s="208"/>
      <c r="H63" s="203"/>
      <c r="I63" s="203"/>
      <c r="J63" s="203"/>
      <c r="K63" s="208"/>
      <c r="L63" s="208"/>
      <c r="M63" s="204">
        <v>0.33333333329999998</v>
      </c>
      <c r="N63" s="204">
        <v>0.33333333329999998</v>
      </c>
      <c r="O63" s="204">
        <v>0.33333333329999998</v>
      </c>
      <c r="P63" s="161">
        <f>SUM(H63:O63)</f>
        <v>0.99999999989999999</v>
      </c>
    </row>
    <row r="64" spans="2:17" s="158" customFormat="1" ht="3.75" customHeight="1">
      <c r="B64" s="629"/>
      <c r="C64" s="632"/>
      <c r="D64" s="623"/>
      <c r="E64" s="636"/>
      <c r="F64" s="623"/>
      <c r="G64" s="626"/>
      <c r="H64" s="626"/>
      <c r="I64" s="626"/>
      <c r="J64" s="626"/>
      <c r="K64" s="628"/>
      <c r="L64" s="628"/>
      <c r="M64" s="626">
        <f>M63</f>
        <v>0.33333333329999998</v>
      </c>
      <c r="N64" s="626">
        <f>N63</f>
        <v>0.33333333329999998</v>
      </c>
      <c r="O64" s="626">
        <f>O63</f>
        <v>0.33333333329999998</v>
      </c>
      <c r="P64" s="161">
        <f>SUM(H64:O64)</f>
        <v>0.99999999989999999</v>
      </c>
    </row>
    <row r="65" spans="2:16" s="158" customFormat="1" ht="17.25" customHeight="1">
      <c r="B65" s="182" t="str">
        <f>ORÇAMENTO!C398</f>
        <v>15.02</v>
      </c>
      <c r="C65" s="1107" t="str">
        <f>ORÇAMENTO!D398</f>
        <v>ALIMENTADORES - ELÉTRICO</v>
      </c>
      <c r="D65" s="183">
        <f>ORÇAMENTO!J398</f>
        <v>0</v>
      </c>
      <c r="E65" s="184">
        <f>E62</f>
        <v>0</v>
      </c>
      <c r="F65" s="183">
        <f>D65</f>
        <v>0</v>
      </c>
      <c r="G65" s="185"/>
      <c r="H65" s="186"/>
      <c r="I65" s="197"/>
      <c r="J65" s="197"/>
      <c r="K65" s="186">
        <f>ABS($F65*K66)</f>
        <v>0</v>
      </c>
      <c r="L65" s="186">
        <f>ABS($F65*L66)</f>
        <v>0</v>
      </c>
      <c r="M65" s="186">
        <f>ABS($F65*M66)</f>
        <v>0</v>
      </c>
      <c r="N65" s="186">
        <f>ABS($F65*N66)</f>
        <v>0</v>
      </c>
      <c r="O65" s="187">
        <f>ABS($F65*O66)</f>
        <v>0</v>
      </c>
      <c r="P65" s="161"/>
    </row>
    <row r="66" spans="2:16" s="158" customFormat="1" ht="13.5">
      <c r="B66" s="182"/>
      <c r="C66" s="1107"/>
      <c r="D66" s="183"/>
      <c r="E66" s="189"/>
      <c r="F66" s="183"/>
      <c r="G66" s="185"/>
      <c r="H66" s="203"/>
      <c r="I66" s="208"/>
      <c r="J66" s="208"/>
      <c r="K66" s="204">
        <v>0.1</v>
      </c>
      <c r="L66" s="204">
        <v>0.2</v>
      </c>
      <c r="M66" s="204">
        <v>0.4</v>
      </c>
      <c r="N66" s="880">
        <v>0.2</v>
      </c>
      <c r="O66" s="205">
        <v>0.1</v>
      </c>
      <c r="P66" s="161">
        <f>SUM(H66:O66)</f>
        <v>1.0000000000000002</v>
      </c>
    </row>
    <row r="67" spans="2:16" s="158" customFormat="1" ht="3.75" customHeight="1">
      <c r="B67" s="629"/>
      <c r="C67" s="630"/>
      <c r="D67" s="623"/>
      <c r="E67" s="624"/>
      <c r="F67" s="623"/>
      <c r="G67" s="625"/>
      <c r="H67" s="626"/>
      <c r="I67" s="626"/>
      <c r="J67" s="628"/>
      <c r="K67" s="626">
        <f>K66</f>
        <v>0.1</v>
      </c>
      <c r="L67" s="626">
        <f>L66</f>
        <v>0.2</v>
      </c>
      <c r="M67" s="626">
        <f>M66</f>
        <v>0.4</v>
      </c>
      <c r="N67" s="626">
        <f>N66</f>
        <v>0.2</v>
      </c>
      <c r="O67" s="627">
        <f>O66</f>
        <v>0.1</v>
      </c>
      <c r="P67" s="161">
        <f>SUM(H67:O67)</f>
        <v>1.0000000000000002</v>
      </c>
    </row>
    <row r="68" spans="2:16" s="158" customFormat="1" ht="17.25" customHeight="1">
      <c r="B68" s="182" t="str">
        <f>ORÇAMENTO!C446</f>
        <v>15.03</v>
      </c>
      <c r="C68" s="1107" t="str">
        <f>ORÇAMENTO!D446</f>
        <v>REDE ESTABILIZADA</v>
      </c>
      <c r="D68" s="183">
        <f>ORÇAMENTO!J446</f>
        <v>0</v>
      </c>
      <c r="E68" s="184">
        <f>E62</f>
        <v>0</v>
      </c>
      <c r="F68" s="183">
        <f>D68</f>
        <v>0</v>
      </c>
      <c r="G68" s="185"/>
      <c r="H68" s="186"/>
      <c r="I68" s="197"/>
      <c r="J68" s="197"/>
      <c r="K68" s="186">
        <f>ABS($F68*K69)</f>
        <v>0</v>
      </c>
      <c r="L68" s="186">
        <f>ABS($F68*L69)</f>
        <v>0</v>
      </c>
      <c r="M68" s="186">
        <f>ABS($F68*M69)</f>
        <v>0</v>
      </c>
      <c r="N68" s="186">
        <f>ABS($F68*N69)</f>
        <v>0</v>
      </c>
      <c r="O68" s="187">
        <f>ABS($F68*O69)</f>
        <v>0</v>
      </c>
      <c r="P68" s="161"/>
    </row>
    <row r="69" spans="2:16" s="158" customFormat="1" ht="13.5">
      <c r="B69" s="182"/>
      <c r="C69" s="1107"/>
      <c r="D69" s="183"/>
      <c r="E69" s="189"/>
      <c r="F69" s="183"/>
      <c r="G69" s="185"/>
      <c r="H69" s="203"/>
      <c r="I69" s="208"/>
      <c r="J69" s="208"/>
      <c r="K69" s="204">
        <v>0.1</v>
      </c>
      <c r="L69" s="204">
        <v>0.2</v>
      </c>
      <c r="M69" s="204">
        <v>0.4</v>
      </c>
      <c r="N69" s="880">
        <v>0.2</v>
      </c>
      <c r="O69" s="205">
        <v>0.1</v>
      </c>
      <c r="P69" s="161">
        <f>SUM(H69:O69)</f>
        <v>1.0000000000000002</v>
      </c>
    </row>
    <row r="70" spans="2:16" s="158" customFormat="1" ht="3.75" customHeight="1">
      <c r="B70" s="629"/>
      <c r="C70" s="632"/>
      <c r="D70" s="623"/>
      <c r="E70" s="636"/>
      <c r="F70" s="623"/>
      <c r="G70" s="625"/>
      <c r="H70" s="626"/>
      <c r="I70" s="628"/>
      <c r="J70" s="628"/>
      <c r="K70" s="626">
        <f>K69</f>
        <v>0.1</v>
      </c>
      <c r="L70" s="626">
        <f>L69</f>
        <v>0.2</v>
      </c>
      <c r="M70" s="626">
        <f>M69</f>
        <v>0.4</v>
      </c>
      <c r="N70" s="626">
        <f>N69</f>
        <v>0.2</v>
      </c>
      <c r="O70" s="627">
        <f>O69</f>
        <v>0.1</v>
      </c>
      <c r="P70" s="161">
        <f>SUM(H70:O70)</f>
        <v>1.0000000000000002</v>
      </c>
    </row>
    <row r="71" spans="2:16" s="158" customFormat="1" ht="13.5" customHeight="1">
      <c r="B71" s="182" t="str">
        <f>ORÇAMENTO!C456</f>
        <v>15.04</v>
      </c>
      <c r="C71" s="1107" t="str">
        <f>ORÇAMENTO!D456</f>
        <v>ATERRAMENTO - SPDA</v>
      </c>
      <c r="D71" s="183">
        <f>ORÇAMENTO!J456</f>
        <v>0</v>
      </c>
      <c r="E71" s="184">
        <f>E68</f>
        <v>0</v>
      </c>
      <c r="F71" s="183">
        <f>D71</f>
        <v>0</v>
      </c>
      <c r="G71" s="185"/>
      <c r="H71" s="197"/>
      <c r="I71" s="186">
        <f>ABS($F71*I72)</f>
        <v>0</v>
      </c>
      <c r="J71" s="186">
        <f>ABS($F71*J72)</f>
        <v>0</v>
      </c>
      <c r="K71" s="186">
        <f>ABS($F71*K72)</f>
        <v>0</v>
      </c>
      <c r="L71" s="186">
        <f>ABS($F71*L72)</f>
        <v>0</v>
      </c>
      <c r="M71" s="186">
        <f>ABS($F71*M72)</f>
        <v>0</v>
      </c>
      <c r="N71" s="878"/>
      <c r="O71" s="187"/>
      <c r="P71" s="161"/>
    </row>
    <row r="72" spans="2:16" s="158" customFormat="1" ht="13.5">
      <c r="B72" s="182"/>
      <c r="C72" s="1107"/>
      <c r="D72" s="183"/>
      <c r="E72" s="189"/>
      <c r="F72" s="183"/>
      <c r="G72" s="185"/>
      <c r="H72" s="208"/>
      <c r="I72" s="204">
        <v>0.1</v>
      </c>
      <c r="J72" s="204">
        <v>0.15</v>
      </c>
      <c r="K72" s="204">
        <v>0.15</v>
      </c>
      <c r="L72" s="204">
        <v>0.2</v>
      </c>
      <c r="M72" s="204">
        <v>0.4</v>
      </c>
      <c r="N72" s="185"/>
      <c r="O72" s="196"/>
      <c r="P72" s="161">
        <f>SUM(H72:O72)</f>
        <v>1</v>
      </c>
    </row>
    <row r="73" spans="2:16" s="158" customFormat="1" ht="3.75" customHeight="1">
      <c r="B73" s="629"/>
      <c r="C73" s="630"/>
      <c r="D73" s="623"/>
      <c r="E73" s="624"/>
      <c r="F73" s="623"/>
      <c r="G73" s="625"/>
      <c r="H73" s="626"/>
      <c r="I73" s="626">
        <f>I72</f>
        <v>0.1</v>
      </c>
      <c r="J73" s="626">
        <f>J72</f>
        <v>0.15</v>
      </c>
      <c r="K73" s="626">
        <f>K72</f>
        <v>0.15</v>
      </c>
      <c r="L73" s="626">
        <f>L72</f>
        <v>0.2</v>
      </c>
      <c r="M73" s="626">
        <f>M72</f>
        <v>0.4</v>
      </c>
      <c r="N73" s="879"/>
      <c r="O73" s="627"/>
      <c r="P73" s="161">
        <f>SUM(H73:O73)</f>
        <v>1</v>
      </c>
    </row>
    <row r="74" spans="2:16" s="158" customFormat="1" ht="13.5" customHeight="1">
      <c r="B74" s="182" t="str">
        <f>ORÇAMENTO!C484</f>
        <v>15.05</v>
      </c>
      <c r="C74" s="1109" t="str">
        <f>ORÇAMENTO!D484</f>
        <v>ELÉTRICO ÁREA INTERNA</v>
      </c>
      <c r="D74" s="183">
        <f>ORÇAMENTO!J484</f>
        <v>0</v>
      </c>
      <c r="E74" s="184">
        <f>E71</f>
        <v>0</v>
      </c>
      <c r="F74" s="183">
        <f>D74</f>
        <v>0</v>
      </c>
      <c r="G74" s="185"/>
      <c r="H74" s="186"/>
      <c r="I74" s="186">
        <f t="shared" ref="I74:O74" si="18">ABS($F74*I75)</f>
        <v>0</v>
      </c>
      <c r="J74" s="186">
        <f t="shared" si="18"/>
        <v>0</v>
      </c>
      <c r="K74" s="186">
        <f t="shared" si="18"/>
        <v>0</v>
      </c>
      <c r="L74" s="186">
        <f t="shared" si="18"/>
        <v>0</v>
      </c>
      <c r="M74" s="186">
        <f t="shared" si="18"/>
        <v>0</v>
      </c>
      <c r="N74" s="186">
        <f t="shared" si="18"/>
        <v>0</v>
      </c>
      <c r="O74" s="187">
        <f t="shared" si="18"/>
        <v>0</v>
      </c>
      <c r="P74" s="161"/>
    </row>
    <row r="75" spans="2:16" s="158" customFormat="1" ht="13.5">
      <c r="B75" s="182"/>
      <c r="C75" s="1109"/>
      <c r="D75" s="183"/>
      <c r="E75" s="189"/>
      <c r="F75" s="183"/>
      <c r="G75" s="185"/>
      <c r="H75" s="203"/>
      <c r="I75" s="204">
        <v>0.1</v>
      </c>
      <c r="J75" s="204">
        <v>0.1</v>
      </c>
      <c r="K75" s="204">
        <v>0.1</v>
      </c>
      <c r="L75" s="204">
        <v>0.3</v>
      </c>
      <c r="M75" s="204">
        <v>0.2</v>
      </c>
      <c r="N75" s="880">
        <v>0.1</v>
      </c>
      <c r="O75" s="205">
        <v>0.1</v>
      </c>
      <c r="P75" s="161">
        <f>SUM(H75:O75)</f>
        <v>1</v>
      </c>
    </row>
    <row r="76" spans="2:16" s="158" customFormat="1" ht="3.75" customHeight="1">
      <c r="B76" s="629"/>
      <c r="C76" s="630"/>
      <c r="D76" s="623"/>
      <c r="E76" s="624"/>
      <c r="F76" s="623"/>
      <c r="G76" s="625"/>
      <c r="H76" s="626"/>
      <c r="I76" s="626">
        <f t="shared" ref="I76:O76" si="19">I75</f>
        <v>0.1</v>
      </c>
      <c r="J76" s="626">
        <f t="shared" si="19"/>
        <v>0.1</v>
      </c>
      <c r="K76" s="626">
        <f t="shared" si="19"/>
        <v>0.1</v>
      </c>
      <c r="L76" s="626">
        <f t="shared" si="19"/>
        <v>0.3</v>
      </c>
      <c r="M76" s="626">
        <f t="shared" si="19"/>
        <v>0.2</v>
      </c>
      <c r="N76" s="626">
        <f t="shared" si="19"/>
        <v>0.1</v>
      </c>
      <c r="O76" s="627">
        <f t="shared" si="19"/>
        <v>0.1</v>
      </c>
      <c r="P76" s="161">
        <f>SUM(H76:O76)</f>
        <v>1</v>
      </c>
    </row>
    <row r="77" spans="2:16" s="158" customFormat="1" ht="18" customHeight="1">
      <c r="B77" s="182" t="str">
        <f>ORÇAMENTO!C520</f>
        <v>15.06</v>
      </c>
      <c r="C77" s="1107" t="str">
        <f>ORÇAMENTO!D520</f>
        <v>EQUIPAMENTOS DE ILUMINAÇÃO - ÁREA EXTERNA</v>
      </c>
      <c r="D77" s="183">
        <f>ORÇAMENTO!J520</f>
        <v>0</v>
      </c>
      <c r="E77" s="184">
        <f>E74</f>
        <v>0</v>
      </c>
      <c r="F77" s="183">
        <f>D77</f>
        <v>0</v>
      </c>
      <c r="G77" s="185"/>
      <c r="H77" s="186"/>
      <c r="I77" s="186"/>
      <c r="J77" s="186"/>
      <c r="K77" s="197"/>
      <c r="L77" s="186">
        <f>ABS($F77*L78)</f>
        <v>0</v>
      </c>
      <c r="M77" s="186">
        <f>ABS($F77*M78)</f>
        <v>0</v>
      </c>
      <c r="N77" s="186">
        <f>ABS($F77*N78)</f>
        <v>0</v>
      </c>
      <c r="O77" s="187">
        <f>ABS($F77*O78)</f>
        <v>0</v>
      </c>
      <c r="P77" s="161"/>
    </row>
    <row r="78" spans="2:16" s="158" customFormat="1" ht="13.5">
      <c r="B78" s="182"/>
      <c r="C78" s="1107"/>
      <c r="D78" s="183"/>
      <c r="E78" s="189"/>
      <c r="F78" s="183"/>
      <c r="G78" s="185"/>
      <c r="H78" s="203"/>
      <c r="I78" s="203"/>
      <c r="J78" s="186"/>
      <c r="K78" s="208"/>
      <c r="L78" s="204">
        <v>0.05</v>
      </c>
      <c r="M78" s="204">
        <v>0.1</v>
      </c>
      <c r="N78" s="880">
        <v>0.2</v>
      </c>
      <c r="O78" s="205">
        <v>0.65</v>
      </c>
      <c r="P78" s="161">
        <f>SUM(H78:O78)</f>
        <v>1</v>
      </c>
    </row>
    <row r="79" spans="2:16" s="158" customFormat="1" ht="3.75" customHeight="1">
      <c r="B79" s="629"/>
      <c r="C79" s="632"/>
      <c r="D79" s="623"/>
      <c r="E79" s="636"/>
      <c r="F79" s="623"/>
      <c r="G79" s="625"/>
      <c r="H79" s="626"/>
      <c r="I79" s="209"/>
      <c r="J79" s="186"/>
      <c r="K79" s="628"/>
      <c r="L79" s="626">
        <f>L78</f>
        <v>0.05</v>
      </c>
      <c r="M79" s="626">
        <f>M78</f>
        <v>0.1</v>
      </c>
      <c r="N79" s="626">
        <f>N78</f>
        <v>0.2</v>
      </c>
      <c r="O79" s="627">
        <f>O78</f>
        <v>0.65</v>
      </c>
      <c r="P79" s="161">
        <f>SUM(H79:O79)</f>
        <v>1</v>
      </c>
    </row>
    <row r="80" spans="2:16" s="158" customFormat="1" ht="17.25" customHeight="1">
      <c r="B80" s="182" t="str">
        <f>ORÇAMENTO!C528</f>
        <v>15.07</v>
      </c>
      <c r="C80" s="1107" t="str">
        <f>ORÇAMENTO!D528</f>
        <v>CABEAMENTO ESTRUTURADO</v>
      </c>
      <c r="D80" s="183">
        <f>ORÇAMENTO!J528</f>
        <v>0</v>
      </c>
      <c r="E80" s="184">
        <f>E77</f>
        <v>0</v>
      </c>
      <c r="F80" s="183">
        <f>D80</f>
        <v>0</v>
      </c>
      <c r="G80" s="185"/>
      <c r="H80" s="186"/>
      <c r="I80" s="484"/>
      <c r="J80" s="484"/>
      <c r="K80" s="186">
        <f>ABS($F80*K81)</f>
        <v>0</v>
      </c>
      <c r="L80" s="186">
        <f>ABS($F80*L81)</f>
        <v>0</v>
      </c>
      <c r="M80" s="186">
        <f>ABS($F80*M81)</f>
        <v>0</v>
      </c>
      <c r="N80" s="878"/>
      <c r="O80" s="187">
        <f>ABS($F80*O81)</f>
        <v>0</v>
      </c>
      <c r="P80" s="161"/>
    </row>
    <row r="81" spans="1:16" s="158" customFormat="1" ht="13.5">
      <c r="B81" s="182"/>
      <c r="C81" s="1107"/>
      <c r="D81" s="183"/>
      <c r="E81" s="189"/>
      <c r="F81" s="183"/>
      <c r="G81" s="185"/>
      <c r="H81" s="203"/>
      <c r="I81" s="203"/>
      <c r="J81" s="186"/>
      <c r="K81" s="204">
        <v>0.1</v>
      </c>
      <c r="L81" s="204">
        <v>0.3</v>
      </c>
      <c r="M81" s="204">
        <v>0.5</v>
      </c>
      <c r="N81" s="880"/>
      <c r="O81" s="205">
        <v>0.1</v>
      </c>
      <c r="P81" s="161">
        <f>SUM(H81:O81)</f>
        <v>1</v>
      </c>
    </row>
    <row r="82" spans="1:16" s="158" customFormat="1" ht="3.75" customHeight="1">
      <c r="B82" s="629"/>
      <c r="C82" s="630"/>
      <c r="D82" s="623"/>
      <c r="E82" s="624"/>
      <c r="F82" s="623"/>
      <c r="G82" s="625"/>
      <c r="H82" s="626"/>
      <c r="I82" s="626"/>
      <c r="J82" s="637"/>
      <c r="K82" s="626">
        <f>K81</f>
        <v>0.1</v>
      </c>
      <c r="L82" s="626">
        <f>L81</f>
        <v>0.3</v>
      </c>
      <c r="M82" s="626">
        <f>M81</f>
        <v>0.5</v>
      </c>
      <c r="N82" s="879"/>
      <c r="O82" s="627">
        <f>O81</f>
        <v>0.1</v>
      </c>
      <c r="P82" s="161">
        <f>SUM(H82:O82)</f>
        <v>1</v>
      </c>
    </row>
    <row r="83" spans="1:16" s="158" customFormat="1" ht="13.5" customHeight="1">
      <c r="B83" s="182" t="str">
        <f>ORÇAMENTO!C577</f>
        <v>15.08</v>
      </c>
      <c r="C83" s="1107" t="str">
        <f>ORÇAMENTO!D577</f>
        <v>CFTV</v>
      </c>
      <c r="D83" s="183">
        <f>ORÇAMENTO!J577</f>
        <v>0</v>
      </c>
      <c r="E83" s="206">
        <f>E80</f>
        <v>0</v>
      </c>
      <c r="F83" s="183">
        <f>D83</f>
        <v>0</v>
      </c>
      <c r="G83" s="185"/>
      <c r="H83" s="186"/>
      <c r="I83" s="186"/>
      <c r="J83" s="186"/>
      <c r="K83" s="186">
        <f>ABS($F83*K84)</f>
        <v>0</v>
      </c>
      <c r="L83" s="186">
        <f>ABS($F83*L84)</f>
        <v>0</v>
      </c>
      <c r="M83" s="186">
        <f>ABS($F83*M84)</f>
        <v>0</v>
      </c>
      <c r="N83" s="186">
        <f>ABS($F83*N84)</f>
        <v>0</v>
      </c>
      <c r="O83" s="187">
        <f>ABS($F83*O84)</f>
        <v>0</v>
      </c>
      <c r="P83" s="161"/>
    </row>
    <row r="84" spans="1:16" s="158" customFormat="1" ht="17.25" customHeight="1">
      <c r="A84" s="158">
        <v>0</v>
      </c>
      <c r="B84" s="182"/>
      <c r="C84" s="1107"/>
      <c r="D84" s="183"/>
      <c r="E84" s="207"/>
      <c r="F84" s="183"/>
      <c r="G84" s="185"/>
      <c r="H84" s="203"/>
      <c r="I84" s="203"/>
      <c r="J84" s="186"/>
      <c r="K84" s="204">
        <v>0.1</v>
      </c>
      <c r="L84" s="204">
        <v>0.2</v>
      </c>
      <c r="M84" s="204">
        <v>0.2</v>
      </c>
      <c r="N84" s="204">
        <v>0.4</v>
      </c>
      <c r="O84" s="205">
        <v>0.1</v>
      </c>
      <c r="P84" s="161">
        <f>SUM(H84:O84)</f>
        <v>1</v>
      </c>
    </row>
    <row r="85" spans="1:16" s="158" customFormat="1" ht="3.75" customHeight="1">
      <c r="B85" s="629"/>
      <c r="C85" s="630"/>
      <c r="D85" s="623"/>
      <c r="E85" s="624"/>
      <c r="F85" s="623"/>
      <c r="G85" s="625"/>
      <c r="H85" s="626"/>
      <c r="I85" s="626"/>
      <c r="J85" s="628"/>
      <c r="K85" s="626">
        <f>K84</f>
        <v>0.1</v>
      </c>
      <c r="L85" s="626">
        <f>L84</f>
        <v>0.2</v>
      </c>
      <c r="M85" s="626">
        <f>M84</f>
        <v>0.2</v>
      </c>
      <c r="N85" s="626">
        <f>N84</f>
        <v>0.4</v>
      </c>
      <c r="O85" s="627">
        <f>O84</f>
        <v>0.1</v>
      </c>
      <c r="P85" s="161">
        <f>SUM(H85:O85)</f>
        <v>1</v>
      </c>
    </row>
    <row r="86" spans="1:16" s="158" customFormat="1" ht="13.5">
      <c r="B86" s="182" t="str">
        <f>ORÇAMENTO!C608</f>
        <v>16.00</v>
      </c>
      <c r="C86" s="1106" t="str">
        <f>ORÇAMENTO!D608</f>
        <v>INSTALAÇÕES DE CLIMATIZAÇÃO</v>
      </c>
      <c r="D86" s="183">
        <f>ORÇAMENTO!J608</f>
        <v>0</v>
      </c>
      <c r="E86" s="184">
        <f>E83</f>
        <v>0</v>
      </c>
      <c r="F86" s="183">
        <f>D86</f>
        <v>0</v>
      </c>
      <c r="G86" s="185" t="e">
        <f>F86/$F$101</f>
        <v>#DIV/0!</v>
      </c>
      <c r="H86" s="186"/>
      <c r="I86" s="186"/>
      <c r="J86" s="186"/>
      <c r="K86" s="186">
        <f>ABS($F86*K87)</f>
        <v>0</v>
      </c>
      <c r="L86" s="186">
        <f>ABS($F86*L87)</f>
        <v>0</v>
      </c>
      <c r="M86" s="186">
        <f>ABS($F86*M87)</f>
        <v>0</v>
      </c>
      <c r="N86" s="186">
        <f>ABS($F86*N87)</f>
        <v>0</v>
      </c>
      <c r="O86" s="187">
        <f>ABS($F86*O87)</f>
        <v>0</v>
      </c>
      <c r="P86" s="161"/>
    </row>
    <row r="87" spans="1:16" s="158" customFormat="1" ht="19.149999999999999" customHeight="1">
      <c r="B87" s="182"/>
      <c r="C87" s="1106"/>
      <c r="D87" s="183"/>
      <c r="E87" s="189"/>
      <c r="F87" s="183"/>
      <c r="G87" s="185"/>
      <c r="H87" s="185"/>
      <c r="I87" s="185"/>
      <c r="J87" s="185"/>
      <c r="K87" s="190">
        <v>0.1</v>
      </c>
      <c r="L87" s="190">
        <v>0.2</v>
      </c>
      <c r="M87" s="190">
        <v>0.2</v>
      </c>
      <c r="N87" s="190">
        <v>0.2</v>
      </c>
      <c r="O87" s="191">
        <v>0.3</v>
      </c>
      <c r="P87" s="161">
        <f>SUM(H87:O87)</f>
        <v>1</v>
      </c>
    </row>
    <row r="88" spans="1:16" s="158" customFormat="1" ht="3.75" customHeight="1">
      <c r="B88" s="629"/>
      <c r="C88" s="632"/>
      <c r="D88" s="623"/>
      <c r="E88" s="636"/>
      <c r="F88" s="623"/>
      <c r="G88" s="625"/>
      <c r="H88" s="626"/>
      <c r="I88" s="626"/>
      <c r="J88" s="626"/>
      <c r="K88" s="626">
        <f>K87</f>
        <v>0.1</v>
      </c>
      <c r="L88" s="626">
        <f>L87</f>
        <v>0.2</v>
      </c>
      <c r="M88" s="626">
        <f>M87</f>
        <v>0.2</v>
      </c>
      <c r="N88" s="626">
        <f>N87</f>
        <v>0.2</v>
      </c>
      <c r="O88" s="627">
        <f>O87</f>
        <v>0.3</v>
      </c>
      <c r="P88" s="161">
        <f>SUM(H88:O88)</f>
        <v>1</v>
      </c>
    </row>
    <row r="89" spans="1:16" s="158" customFormat="1" ht="12.6" customHeight="1">
      <c r="B89" s="182" t="str">
        <f>ORÇAMENTO!C620</f>
        <v>17.00</v>
      </c>
      <c r="C89" s="1108" t="str">
        <f>ORÇAMENTO!D620</f>
        <v xml:space="preserve">INSTALAÇÕES DE GÁS </v>
      </c>
      <c r="D89" s="183">
        <f>ORÇAMENTO!J620</f>
        <v>0</v>
      </c>
      <c r="E89" s="184">
        <f>E86</f>
        <v>0</v>
      </c>
      <c r="F89" s="183">
        <f>D89</f>
        <v>0</v>
      </c>
      <c r="G89" s="185" t="e">
        <f>F89/$F$101</f>
        <v>#DIV/0!</v>
      </c>
      <c r="H89" s="186"/>
      <c r="I89" s="186"/>
      <c r="J89" s="197"/>
      <c r="K89" s="186">
        <f>ABS($F89*K90)</f>
        <v>0</v>
      </c>
      <c r="L89" s="186">
        <f>ABS($F89*L90)</f>
        <v>0</v>
      </c>
      <c r="M89" s="186">
        <f>ABS($F89*M90)</f>
        <v>0</v>
      </c>
      <c r="N89" s="186">
        <f>ABS($F89*N90)</f>
        <v>0</v>
      </c>
      <c r="O89" s="186">
        <f>ABS($F89*O90)</f>
        <v>0</v>
      </c>
      <c r="P89" s="161"/>
    </row>
    <row r="90" spans="1:16" s="158" customFormat="1" ht="21.6" customHeight="1">
      <c r="B90" s="182"/>
      <c r="C90" s="1108"/>
      <c r="D90" s="183"/>
      <c r="E90" s="189"/>
      <c r="F90" s="183"/>
      <c r="G90" s="185"/>
      <c r="H90" s="203"/>
      <c r="I90" s="203"/>
      <c r="J90" s="208"/>
      <c r="K90" s="210">
        <v>0.1</v>
      </c>
      <c r="L90" s="210">
        <v>0.2</v>
      </c>
      <c r="M90" s="210">
        <v>0.55000000000000004</v>
      </c>
      <c r="N90" s="210">
        <v>0.1</v>
      </c>
      <c r="O90" s="210">
        <v>0.05</v>
      </c>
      <c r="P90" s="161">
        <f>SUM(H90:O90)</f>
        <v>1</v>
      </c>
    </row>
    <row r="91" spans="1:16" s="158" customFormat="1" ht="3.75" customHeight="1">
      <c r="B91" s="629"/>
      <c r="C91" s="632"/>
      <c r="D91" s="623"/>
      <c r="E91" s="636"/>
      <c r="F91" s="623"/>
      <c r="G91" s="625"/>
      <c r="H91" s="626"/>
      <c r="I91" s="626"/>
      <c r="J91" s="626"/>
      <c r="K91" s="626">
        <f>K90</f>
        <v>0.1</v>
      </c>
      <c r="L91" s="626">
        <f>L90</f>
        <v>0.2</v>
      </c>
      <c r="M91" s="626">
        <f>M90</f>
        <v>0.55000000000000004</v>
      </c>
      <c r="N91" s="626">
        <f>N90</f>
        <v>0.1</v>
      </c>
      <c r="O91" s="626">
        <f>O90</f>
        <v>0.05</v>
      </c>
      <c r="P91" s="161">
        <f>SUM(H91:O91)</f>
        <v>1</v>
      </c>
    </row>
    <row r="92" spans="1:16" s="158" customFormat="1" ht="12.6" customHeight="1">
      <c r="B92" s="182" t="str">
        <f>ORÇAMENTO!C630</f>
        <v>18.00</v>
      </c>
      <c r="C92" s="1108" t="str">
        <f>ORÇAMENTO!D630</f>
        <v>INSTALAÇÕES DE SONORIZAÇÃO</v>
      </c>
      <c r="D92" s="183">
        <f>ORÇAMENTO!J630</f>
        <v>0</v>
      </c>
      <c r="E92" s="184">
        <f>E89</f>
        <v>0</v>
      </c>
      <c r="F92" s="183">
        <f>D92</f>
        <v>0</v>
      </c>
      <c r="G92" s="185" t="e">
        <f>F92/$F$101</f>
        <v>#DIV/0!</v>
      </c>
      <c r="H92" s="186"/>
      <c r="I92" s="186"/>
      <c r="J92" s="197"/>
      <c r="K92" s="186">
        <f>ABS($F92*K93)</f>
        <v>0</v>
      </c>
      <c r="L92" s="186">
        <f>ABS($F92*L93)</f>
        <v>0</v>
      </c>
      <c r="M92" s="186">
        <f>ABS($F92*M93)</f>
        <v>0</v>
      </c>
      <c r="N92" s="186">
        <f>ABS($F92*N93)</f>
        <v>0</v>
      </c>
      <c r="O92" s="186">
        <f>ABS($F92*O93)</f>
        <v>0</v>
      </c>
      <c r="P92" s="161"/>
    </row>
    <row r="93" spans="1:16" s="158" customFormat="1" ht="21.6" customHeight="1">
      <c r="B93" s="182"/>
      <c r="C93" s="1108"/>
      <c r="D93" s="183"/>
      <c r="E93" s="189"/>
      <c r="F93" s="183"/>
      <c r="G93" s="185"/>
      <c r="H93" s="203"/>
      <c r="I93" s="203"/>
      <c r="J93" s="208"/>
      <c r="K93" s="210">
        <v>0.2</v>
      </c>
      <c r="L93" s="210">
        <v>0.2</v>
      </c>
      <c r="M93" s="210">
        <v>0.35</v>
      </c>
      <c r="N93" s="210">
        <v>0.2</v>
      </c>
      <c r="O93" s="210">
        <v>0.05</v>
      </c>
      <c r="P93" s="161">
        <f>SUM(H93:O93)</f>
        <v>1</v>
      </c>
    </row>
    <row r="94" spans="1:16" s="158" customFormat="1" ht="3.75" customHeight="1">
      <c r="B94" s="629"/>
      <c r="C94" s="632"/>
      <c r="D94" s="623"/>
      <c r="E94" s="636"/>
      <c r="F94" s="623"/>
      <c r="G94" s="625"/>
      <c r="H94" s="626"/>
      <c r="I94" s="626"/>
      <c r="J94" s="626"/>
      <c r="K94" s="626">
        <f>K93</f>
        <v>0.2</v>
      </c>
      <c r="L94" s="626">
        <f>L93</f>
        <v>0.2</v>
      </c>
      <c r="M94" s="626">
        <f>M93</f>
        <v>0.35</v>
      </c>
      <c r="N94" s="626">
        <f>N93</f>
        <v>0.2</v>
      </c>
      <c r="O94" s="626">
        <f>O93</f>
        <v>0.05</v>
      </c>
      <c r="P94" s="161">
        <f>SUM(H94:O94)</f>
        <v>1</v>
      </c>
    </row>
    <row r="95" spans="1:16" s="158" customFormat="1" ht="13.5" customHeight="1">
      <c r="B95" s="182" t="str">
        <f>ORÇAMENTO!C634</f>
        <v>19.00</v>
      </c>
      <c r="C95" s="1109" t="str">
        <f>ORÇAMENTO!D634</f>
        <v>ELEMENTOS DECORATIVOS</v>
      </c>
      <c r="D95" s="183">
        <f>ORÇAMENTO!J634</f>
        <v>0</v>
      </c>
      <c r="E95" s="184">
        <f>E89</f>
        <v>0</v>
      </c>
      <c r="F95" s="183">
        <f>D95</f>
        <v>0</v>
      </c>
      <c r="G95" s="185" t="e">
        <f>F95/$F$101</f>
        <v>#DIV/0!</v>
      </c>
      <c r="H95" s="186"/>
      <c r="I95" s="186"/>
      <c r="J95" s="186"/>
      <c r="K95" s="186"/>
      <c r="L95" s="186">
        <f>ABS($F95*L96)</f>
        <v>0</v>
      </c>
      <c r="M95" s="186">
        <f>ABS($F95*M96)</f>
        <v>0</v>
      </c>
      <c r="N95" s="186">
        <f>ABS($F95*N96)</f>
        <v>0</v>
      </c>
      <c r="O95" s="187">
        <f>ABS($F95*O96)</f>
        <v>0</v>
      </c>
      <c r="P95" s="161"/>
    </row>
    <row r="96" spans="1:16" s="158" customFormat="1" ht="13.5">
      <c r="B96" s="182"/>
      <c r="C96" s="1109"/>
      <c r="D96" s="183"/>
      <c r="E96" s="189"/>
      <c r="F96" s="183"/>
      <c r="G96" s="185"/>
      <c r="H96" s="185"/>
      <c r="I96" s="185"/>
      <c r="J96" s="185"/>
      <c r="K96" s="185"/>
      <c r="L96" s="190">
        <v>0.4</v>
      </c>
      <c r="M96" s="190">
        <v>0.2</v>
      </c>
      <c r="N96" s="190">
        <v>0.2</v>
      </c>
      <c r="O96" s="191">
        <v>0.2</v>
      </c>
      <c r="P96" s="161">
        <f>SUM(H96:O96)</f>
        <v>1</v>
      </c>
    </row>
    <row r="97" spans="2:16" s="158" customFormat="1" ht="3.75" customHeight="1">
      <c r="B97" s="621"/>
      <c r="C97" s="622"/>
      <c r="D97" s="623"/>
      <c r="E97" s="624"/>
      <c r="F97" s="623"/>
      <c r="G97" s="625"/>
      <c r="H97" s="626"/>
      <c r="I97" s="626"/>
      <c r="J97" s="626"/>
      <c r="K97" s="626"/>
      <c r="L97" s="626">
        <f>L96</f>
        <v>0.4</v>
      </c>
      <c r="M97" s="626">
        <f>M96</f>
        <v>0.2</v>
      </c>
      <c r="N97" s="626">
        <f>N96</f>
        <v>0.2</v>
      </c>
      <c r="O97" s="627">
        <f>O96</f>
        <v>0.2</v>
      </c>
      <c r="P97" s="161">
        <f>SUM(H97:O97)</f>
        <v>1</v>
      </c>
    </row>
    <row r="98" spans="2:16" s="158" customFormat="1" ht="13.5" customHeight="1">
      <c r="B98" s="182" t="str">
        <f>ORÇAMENTO!C659</f>
        <v>20.00</v>
      </c>
      <c r="C98" s="1106" t="str">
        <f>ORÇAMENTO!D659</f>
        <v>SERVIÇOS COMPLEMENTARES</v>
      </c>
      <c r="D98" s="183">
        <f>ORÇAMENTO!J659</f>
        <v>0</v>
      </c>
      <c r="E98" s="184">
        <f>E95</f>
        <v>0</v>
      </c>
      <c r="F98" s="183">
        <f>D98</f>
        <v>0</v>
      </c>
      <c r="G98" s="185" t="e">
        <f>F98/$F$101</f>
        <v>#DIV/0!</v>
      </c>
      <c r="H98" s="186"/>
      <c r="I98" s="186"/>
      <c r="J98" s="186"/>
      <c r="K98" s="186"/>
      <c r="L98" s="186"/>
      <c r="M98" s="186">
        <f>ABS($F98*M99)</f>
        <v>0</v>
      </c>
      <c r="N98" s="186">
        <f>ABS($F98*N99)</f>
        <v>0</v>
      </c>
      <c r="O98" s="186">
        <f>ABS($F98*O99)</f>
        <v>0</v>
      </c>
      <c r="P98" s="161"/>
    </row>
    <row r="99" spans="2:16" s="158" customFormat="1" ht="13.5">
      <c r="B99" s="182"/>
      <c r="C99" s="1106"/>
      <c r="D99" s="183"/>
      <c r="E99" s="189"/>
      <c r="F99" s="183"/>
      <c r="G99" s="185"/>
      <c r="H99" s="185"/>
      <c r="I99" s="185"/>
      <c r="J99" s="185"/>
      <c r="K99" s="185"/>
      <c r="L99" s="194"/>
      <c r="M99" s="190">
        <v>0.33333333329999998</v>
      </c>
      <c r="N99" s="190">
        <v>0.33333333329999998</v>
      </c>
      <c r="O99" s="190">
        <v>0.33333333329999998</v>
      </c>
      <c r="P99" s="161">
        <f>SUM(H99:O99)</f>
        <v>0.99999999989999999</v>
      </c>
    </row>
    <row r="100" spans="2:16" s="158" customFormat="1" ht="3.75" customHeight="1">
      <c r="B100" s="629"/>
      <c r="C100" s="632"/>
      <c r="D100" s="623"/>
      <c r="E100" s="636"/>
      <c r="F100" s="623"/>
      <c r="G100" s="625"/>
      <c r="H100" s="626"/>
      <c r="I100" s="626"/>
      <c r="J100" s="626"/>
      <c r="K100" s="628"/>
      <c r="L100" s="628"/>
      <c r="M100" s="626">
        <f>M99</f>
        <v>0.33333333329999998</v>
      </c>
      <c r="N100" s="626">
        <f>N99</f>
        <v>0.33333333329999998</v>
      </c>
      <c r="O100" s="626">
        <f>O99</f>
        <v>0.33333333329999998</v>
      </c>
      <c r="P100" s="161">
        <f>SUM(H100:O100)</f>
        <v>0.99999999989999999</v>
      </c>
    </row>
    <row r="101" spans="2:16" s="158" customFormat="1" ht="15" customHeight="1">
      <c r="B101" s="211" t="s">
        <v>2317</v>
      </c>
      <c r="C101" s="212" t="s">
        <v>2318</v>
      </c>
      <c r="D101" s="486">
        <f>D8+D11+D14+D17+D20+D23+D26+D29+D32+D35+D38+D41+D47+D50+D53+D56+D62+D65+D68+D71+D74+D77+D80+D83+D86+D89+D92+D95+D98</f>
        <v>0</v>
      </c>
      <c r="E101" s="486"/>
      <c r="F101" s="486">
        <f>F8+F11+F14+F17+F20+F23+F26+F29+F32+F35+F38+F41+F47+F50+F53+F56+F62+F65+F68+F71+F74+F77+F80+F83+F86+F89+F92+F95+F98</f>
        <v>0</v>
      </c>
      <c r="G101" s="487" t="e">
        <f>SUM(G8:G99)</f>
        <v>#DIV/0!</v>
      </c>
      <c r="H101" s="486">
        <f t="shared" ref="H101:O101" si="20">H8+H11+H14+H17+H20+H23+H26+H29+H32+H35+H38+H41+H47+H50+H53+H56+H62+H65+H68+H71+H74+H77+H80+H83+H86+H89+H92+H95+H98</f>
        <v>0</v>
      </c>
      <c r="I101" s="486">
        <f t="shared" si="20"/>
        <v>0</v>
      </c>
      <c r="J101" s="486">
        <f t="shared" si="20"/>
        <v>0</v>
      </c>
      <c r="K101" s="486">
        <f t="shared" si="20"/>
        <v>0</v>
      </c>
      <c r="L101" s="486">
        <f t="shared" si="20"/>
        <v>0</v>
      </c>
      <c r="M101" s="486">
        <f t="shared" si="20"/>
        <v>0</v>
      </c>
      <c r="N101" s="486">
        <f t="shared" ref="N101" si="21">N8+N11+N14+N17+N20+N23+N26+N29+N32+N35+N38+N41+N47+N50+N53+N56+N62+N65+N68+N71+N74+N77+N80+N83+N86+N89+N92+N95+N98</f>
        <v>0</v>
      </c>
      <c r="O101" s="486">
        <f t="shared" si="20"/>
        <v>0</v>
      </c>
      <c r="P101" s="161"/>
    </row>
    <row r="102" spans="2:16" s="158" customFormat="1" ht="15" customHeight="1">
      <c r="B102" s="211" t="s">
        <v>2319</v>
      </c>
      <c r="C102" s="213" t="s">
        <v>2320</v>
      </c>
      <c r="D102" s="213"/>
      <c r="E102" s="213"/>
      <c r="F102" s="214"/>
      <c r="G102" s="215"/>
      <c r="H102" s="488">
        <f>H101</f>
        <v>0</v>
      </c>
      <c r="I102" s="488">
        <f t="shared" ref="I102:N102" si="22">I101+H102</f>
        <v>0</v>
      </c>
      <c r="J102" s="488">
        <f t="shared" si="22"/>
        <v>0</v>
      </c>
      <c r="K102" s="488">
        <f t="shared" si="22"/>
        <v>0</v>
      </c>
      <c r="L102" s="488">
        <f t="shared" si="22"/>
        <v>0</v>
      </c>
      <c r="M102" s="488">
        <f t="shared" si="22"/>
        <v>0</v>
      </c>
      <c r="N102" s="488">
        <f t="shared" si="22"/>
        <v>0</v>
      </c>
      <c r="O102" s="216">
        <f>O101+N102</f>
        <v>0</v>
      </c>
      <c r="P102" s="161"/>
    </row>
    <row r="103" spans="2:16" s="158" customFormat="1" ht="15" customHeight="1">
      <c r="B103" s="211" t="s">
        <v>2321</v>
      </c>
      <c r="C103" s="213" t="s">
        <v>2322</v>
      </c>
      <c r="D103" s="213"/>
      <c r="E103" s="213"/>
      <c r="F103" s="214"/>
      <c r="G103" s="217"/>
      <c r="H103" s="638" t="e">
        <f>H101/F101</f>
        <v>#DIV/0!</v>
      </c>
      <c r="I103" s="638" t="e">
        <f t="shared" ref="I103:O103" si="23">I101/$F$101</f>
        <v>#DIV/0!</v>
      </c>
      <c r="J103" s="638" t="e">
        <f t="shared" si="23"/>
        <v>#DIV/0!</v>
      </c>
      <c r="K103" s="638" t="e">
        <f t="shared" si="23"/>
        <v>#DIV/0!</v>
      </c>
      <c r="L103" s="638" t="e">
        <f t="shared" si="23"/>
        <v>#DIV/0!</v>
      </c>
      <c r="M103" s="638" t="e">
        <f t="shared" si="23"/>
        <v>#DIV/0!</v>
      </c>
      <c r="N103" s="638" t="e">
        <f t="shared" ref="N103" si="24">N101/$F$101</f>
        <v>#DIV/0!</v>
      </c>
      <c r="O103" s="639" t="e">
        <f t="shared" si="23"/>
        <v>#DIV/0!</v>
      </c>
      <c r="P103" s="161"/>
    </row>
    <row r="104" spans="2:16" s="158" customFormat="1" ht="15" customHeight="1">
      <c r="B104" s="218" t="s">
        <v>2323</v>
      </c>
      <c r="C104" s="219" t="s">
        <v>2324</v>
      </c>
      <c r="D104" s="219"/>
      <c r="E104" s="219"/>
      <c r="F104" s="220"/>
      <c r="G104" s="221"/>
      <c r="H104" s="222" t="e">
        <f>H103</f>
        <v>#DIV/0!</v>
      </c>
      <c r="I104" s="222" t="e">
        <f t="shared" ref="I104:N104" si="25">I103+H104</f>
        <v>#DIV/0!</v>
      </c>
      <c r="J104" s="222" t="e">
        <f t="shared" si="25"/>
        <v>#DIV/0!</v>
      </c>
      <c r="K104" s="222" t="e">
        <f t="shared" si="25"/>
        <v>#DIV/0!</v>
      </c>
      <c r="L104" s="222" t="e">
        <f t="shared" si="25"/>
        <v>#DIV/0!</v>
      </c>
      <c r="M104" s="222" t="e">
        <f t="shared" si="25"/>
        <v>#DIV/0!</v>
      </c>
      <c r="N104" s="222" t="e">
        <f t="shared" si="25"/>
        <v>#DIV/0!</v>
      </c>
      <c r="O104" s="223" t="e">
        <f>O103+N104</f>
        <v>#DIV/0!</v>
      </c>
      <c r="P104" s="161"/>
    </row>
    <row r="105" spans="2:16" s="158" customFormat="1" ht="14.25">
      <c r="B105" s="159"/>
      <c r="D105" s="188">
        <f>D8+D11+D14+D17+D20+D23+D26+D29+D32+D35+D38+D41+D47+D50+D53+D56+D62+D65+D68+D71+D74+D77+D80+D83+D86+D89+D92+D95+D98</f>
        <v>0</v>
      </c>
      <c r="I105" s="158" t="s">
        <v>1083</v>
      </c>
      <c r="J105" s="200" t="s">
        <v>1083</v>
      </c>
      <c r="P105" s="161"/>
    </row>
  </sheetData>
  <sheetProtection selectLockedCells="1" selectUnlockedCells="1"/>
  <mergeCells count="36">
    <mergeCell ref="C6:F6"/>
    <mergeCell ref="H6:L6"/>
    <mergeCell ref="B2:O2"/>
    <mergeCell ref="B3:O3"/>
    <mergeCell ref="B4:O4"/>
    <mergeCell ref="C8:C9"/>
    <mergeCell ref="C11:C12"/>
    <mergeCell ref="C14:C15"/>
    <mergeCell ref="C17:C18"/>
    <mergeCell ref="C20:C21"/>
    <mergeCell ref="C23:C24"/>
    <mergeCell ref="C26:C27"/>
    <mergeCell ref="C29:C30"/>
    <mergeCell ref="C32:C33"/>
    <mergeCell ref="C35:C36"/>
    <mergeCell ref="C38:C39"/>
    <mergeCell ref="C41:C42"/>
    <mergeCell ref="C44:C45"/>
    <mergeCell ref="C47:C48"/>
    <mergeCell ref="C50:C51"/>
    <mergeCell ref="C53:C54"/>
    <mergeCell ref="C56:C57"/>
    <mergeCell ref="C59:C60"/>
    <mergeCell ref="C62:C63"/>
    <mergeCell ref="C65:C66"/>
    <mergeCell ref="C68:C69"/>
    <mergeCell ref="C71:C72"/>
    <mergeCell ref="C74:C75"/>
    <mergeCell ref="C77:C78"/>
    <mergeCell ref="C80:C81"/>
    <mergeCell ref="C98:C99"/>
    <mergeCell ref="C83:C84"/>
    <mergeCell ref="C86:C87"/>
    <mergeCell ref="C89:C90"/>
    <mergeCell ref="C92:C93"/>
    <mergeCell ref="C95:C96"/>
  </mergeCells>
  <conditionalFormatting sqref="G64:O64">
    <cfRule type="cellIs" dxfId="45" priority="14" stopIfTrue="1" operator="greaterThan">
      <formula>0</formula>
    </cfRule>
  </conditionalFormatting>
  <conditionalFormatting sqref="H79:I79">
    <cfRule type="cellIs" dxfId="44" priority="64" stopIfTrue="1" operator="greaterThan">
      <formula>0</formula>
    </cfRule>
  </conditionalFormatting>
  <conditionalFormatting sqref="H82:I82">
    <cfRule type="cellIs" dxfId="43" priority="68" stopIfTrue="1" operator="greaterThan">
      <formula>0</formula>
    </cfRule>
  </conditionalFormatting>
  <conditionalFormatting sqref="H10:N10">
    <cfRule type="cellIs" dxfId="42" priority="75" stopIfTrue="1" operator="greaterThan">
      <formula>0</formula>
    </cfRule>
  </conditionalFormatting>
  <conditionalFormatting sqref="I13:L13 O13">
    <cfRule type="cellIs" dxfId="41" priority="15" stopIfTrue="1" operator="greaterThan">
      <formula>0</formula>
    </cfRule>
  </conditionalFormatting>
  <conditionalFormatting sqref="H16:M16">
    <cfRule type="cellIs" dxfId="40" priority="17" stopIfTrue="1" operator="greaterThan">
      <formula>0</formula>
    </cfRule>
  </conditionalFormatting>
  <conditionalFormatting sqref="H19:O19">
    <cfRule type="cellIs" dxfId="39" priority="18" stopIfTrue="1" operator="greaterThan">
      <formula>0</formula>
    </cfRule>
  </conditionalFormatting>
  <conditionalFormatting sqref="H22:O22">
    <cfRule type="cellIs" dxfId="38" priority="19" stopIfTrue="1" operator="greaterThan">
      <formula>0</formula>
    </cfRule>
  </conditionalFormatting>
  <conditionalFormatting sqref="H25:O25">
    <cfRule type="cellIs" dxfId="37" priority="21" stopIfTrue="1" operator="greaterThan">
      <formula>0</formula>
    </cfRule>
  </conditionalFormatting>
  <conditionalFormatting sqref="H28:O28">
    <cfRule type="cellIs" dxfId="36" priority="23" stopIfTrue="1" operator="greaterThan">
      <formula>0</formula>
    </cfRule>
  </conditionalFormatting>
  <conditionalFormatting sqref="H31:O31">
    <cfRule type="cellIs" dxfId="35" priority="142" stopIfTrue="1" operator="greaterThan">
      <formula>0</formula>
    </cfRule>
  </conditionalFormatting>
  <conditionalFormatting sqref="H40:O40">
    <cfRule type="cellIs" dxfId="34" priority="150" stopIfTrue="1" operator="greaterThan">
      <formula>0</formula>
    </cfRule>
  </conditionalFormatting>
  <conditionalFormatting sqref="H46:O46">
    <cfRule type="cellIs" dxfId="33" priority="25" stopIfTrue="1" operator="greaterThan">
      <formula>0</formula>
    </cfRule>
  </conditionalFormatting>
  <conditionalFormatting sqref="H49:O49">
    <cfRule type="cellIs" dxfId="32" priority="35" stopIfTrue="1" operator="greaterThan">
      <formula>0</formula>
    </cfRule>
  </conditionalFormatting>
  <conditionalFormatting sqref="H52:O52">
    <cfRule type="cellIs" dxfId="31" priority="37" stopIfTrue="1" operator="greaterThan">
      <formula>0</formula>
    </cfRule>
  </conditionalFormatting>
  <conditionalFormatting sqref="H55:O55">
    <cfRule type="cellIs" dxfId="30" priority="158" stopIfTrue="1" operator="greaterThan">
      <formula>0</formula>
    </cfRule>
  </conditionalFormatting>
  <conditionalFormatting sqref="H58:O58">
    <cfRule type="cellIs" dxfId="29" priority="27" stopIfTrue="1" operator="greaterThan">
      <formula>0</formula>
    </cfRule>
  </conditionalFormatting>
  <conditionalFormatting sqref="H61:M61">
    <cfRule type="cellIs" dxfId="28" priority="29" stopIfTrue="1" operator="greaterThan">
      <formula>0</formula>
    </cfRule>
  </conditionalFormatting>
  <conditionalFormatting sqref="H67:O67">
    <cfRule type="cellIs" dxfId="27" priority="47" stopIfTrue="1" operator="greaterThan">
      <formula>0</formula>
    </cfRule>
  </conditionalFormatting>
  <conditionalFormatting sqref="H70:K70 O70">
    <cfRule type="cellIs" dxfId="26" priority="52" stopIfTrue="1" operator="greaterThan">
      <formula>0</formula>
    </cfRule>
  </conditionalFormatting>
  <conditionalFormatting sqref="H73:O73">
    <cfRule type="cellIs" dxfId="25" priority="57" stopIfTrue="1" operator="greaterThan">
      <formula>0</formula>
    </cfRule>
  </conditionalFormatting>
  <conditionalFormatting sqref="H76:O76">
    <cfRule type="cellIs" dxfId="24" priority="61" stopIfTrue="1" operator="greaterThan">
      <formula>0</formula>
    </cfRule>
  </conditionalFormatting>
  <conditionalFormatting sqref="H85:O85">
    <cfRule type="cellIs" dxfId="23" priority="71" stopIfTrue="1" operator="greaterThan">
      <formula>0</formula>
    </cfRule>
  </conditionalFormatting>
  <conditionalFormatting sqref="H88:O88">
    <cfRule type="cellIs" dxfId="22" priority="31" stopIfTrue="1" operator="greaterThan">
      <formula>0</formula>
    </cfRule>
  </conditionalFormatting>
  <conditionalFormatting sqref="H91:O91">
    <cfRule type="cellIs" dxfId="21" priority="165" stopIfTrue="1" operator="greaterThan">
      <formula>0</formula>
    </cfRule>
  </conditionalFormatting>
  <conditionalFormatting sqref="H94:O94">
    <cfRule type="cellIs" dxfId="20" priority="172" stopIfTrue="1" operator="greaterThan">
      <formula>0</formula>
    </cfRule>
  </conditionalFormatting>
  <conditionalFormatting sqref="H97:O97">
    <cfRule type="cellIs" dxfId="19" priority="33" stopIfTrue="1" operator="greaterThan">
      <formula>0</formula>
    </cfRule>
  </conditionalFormatting>
  <conditionalFormatting sqref="H100:L100">
    <cfRule type="cellIs" dxfId="18" priority="154" stopIfTrue="1" operator="greaterThan">
      <formula>0</formula>
    </cfRule>
  </conditionalFormatting>
  <conditionalFormatting sqref="K79:N79">
    <cfRule type="cellIs" dxfId="17" priority="66" stopIfTrue="1" operator="greaterThan">
      <formula>0</formula>
    </cfRule>
  </conditionalFormatting>
  <conditionalFormatting sqref="K82:O82">
    <cfRule type="cellIs" dxfId="16" priority="69" stopIfTrue="1" operator="greaterThan">
      <formula>0</formula>
    </cfRule>
  </conditionalFormatting>
  <conditionalFormatting sqref="M13:N13">
    <cfRule type="cellIs" dxfId="15" priority="13" stopIfTrue="1" operator="greaterThan">
      <formula>0</formula>
    </cfRule>
  </conditionalFormatting>
  <conditionalFormatting sqref="O10">
    <cfRule type="cellIs" dxfId="14" priority="12" stopIfTrue="1" operator="greaterThan">
      <formula>0</formula>
    </cfRule>
  </conditionalFormatting>
  <conditionalFormatting sqref="O16">
    <cfRule type="cellIs" dxfId="13" priority="11" stopIfTrue="1" operator="greaterThan">
      <formula>0</formula>
    </cfRule>
  </conditionalFormatting>
  <conditionalFormatting sqref="H13">
    <cfRule type="cellIs" dxfId="12" priority="10" stopIfTrue="1" operator="greaterThan">
      <formula>0</formula>
    </cfRule>
  </conditionalFormatting>
  <conditionalFormatting sqref="N16">
    <cfRule type="cellIs" dxfId="11" priority="9" stopIfTrue="1" operator="greaterThan">
      <formula>0</formula>
    </cfRule>
  </conditionalFormatting>
  <conditionalFormatting sqref="N61">
    <cfRule type="cellIs" dxfId="10" priority="6" stopIfTrue="1" operator="greaterThan">
      <formula>0</formula>
    </cfRule>
  </conditionalFormatting>
  <conditionalFormatting sqref="O61">
    <cfRule type="cellIs" dxfId="9" priority="5" stopIfTrue="1" operator="greaterThan">
      <formula>0</formula>
    </cfRule>
  </conditionalFormatting>
  <conditionalFormatting sqref="L70:N70">
    <cfRule type="cellIs" dxfId="8" priority="4" stopIfTrue="1" operator="greaterThan">
      <formula>0</formula>
    </cfRule>
  </conditionalFormatting>
  <conditionalFormatting sqref="O79">
    <cfRule type="cellIs" dxfId="7" priority="2" stopIfTrue="1" operator="greaterThan">
      <formula>0</formula>
    </cfRule>
  </conditionalFormatting>
  <conditionalFormatting sqref="M100:O100">
    <cfRule type="cellIs" dxfId="6" priority="1" stopIfTrue="1" operator="greaterThan">
      <formula>0</formula>
    </cfRule>
  </conditionalFormatting>
  <pageMargins left="0.51180555555555551" right="0.51180555555555551" top="0.39374999999999999" bottom="0.35416666666666669" header="0.51180555555555551" footer="0.51180555555555551"/>
  <pageSetup paperSize="9" firstPageNumber="0" fitToHeight="0" orientation="landscape" horizontalDpi="300" verticalDpi="300"/>
  <headerFooter alignWithMargins="0"/>
  <rowBreaks count="1" manualBreakCount="1">
    <brk id="67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B1:Q30"/>
  <sheetViews>
    <sheetView zoomScale="80" zoomScaleNormal="80" zoomScaleSheetLayoutView="90" workbookViewId="0">
      <selection activeCell="H47" sqref="H47"/>
    </sheetView>
  </sheetViews>
  <sheetFormatPr defaultColWidth="9" defaultRowHeight="15" customHeight="1"/>
  <cols>
    <col min="1" max="1" width="9.7109375" customWidth="1"/>
    <col min="2" max="2" width="10.5703125" customWidth="1"/>
    <col min="3" max="3" width="29" customWidth="1"/>
    <col min="4" max="4" width="17.140625" customWidth="1"/>
    <col min="5" max="5" width="9.28515625" customWidth="1"/>
    <col min="6" max="6" width="15.7109375" customWidth="1"/>
    <col min="7" max="7" width="14.140625" customWidth="1"/>
    <col min="8" max="8" width="19" customWidth="1"/>
    <col min="9" max="11" width="14.5703125" customWidth="1"/>
    <col min="12" max="15" width="16.42578125" customWidth="1"/>
    <col min="16" max="16" width="15" style="157" customWidth="1"/>
    <col min="17" max="17" width="17.5703125" customWidth="1"/>
  </cols>
  <sheetData>
    <row r="1" spans="2:17" s="158" customFormat="1" ht="44.25" customHeight="1">
      <c r="B1" s="159"/>
      <c r="K1" s="160"/>
      <c r="L1" s="160"/>
      <c r="M1" s="160"/>
      <c r="N1" s="160"/>
      <c r="O1" s="160"/>
      <c r="P1" s="161" t="s">
        <v>1083</v>
      </c>
    </row>
    <row r="2" spans="2:17" s="158" customFormat="1" ht="27" customHeight="1">
      <c r="B2" s="1114" t="s">
        <v>2325</v>
      </c>
      <c r="C2" s="1114"/>
      <c r="D2" s="1114"/>
      <c r="E2" s="1114"/>
      <c r="F2" s="1114"/>
      <c r="G2" s="1114"/>
      <c r="H2" s="1114"/>
      <c r="I2" s="1114"/>
      <c r="J2" s="1114"/>
      <c r="K2" s="1114"/>
      <c r="L2" s="1114"/>
      <c r="M2" s="1114"/>
      <c r="N2" s="1114"/>
      <c r="O2" s="1114"/>
      <c r="P2" s="161"/>
    </row>
    <row r="3" spans="2:17" s="158" customFormat="1" ht="24" customHeight="1">
      <c r="B3" s="1115" t="str">
        <f>ORÇAMENTO!A4</f>
        <v>OBRA: CONSTRUÇÃO DO FÓRUM DA COMARCA DE CORURIPE</v>
      </c>
      <c r="C3" s="1115"/>
      <c r="D3" s="1115"/>
      <c r="E3" s="1115"/>
      <c r="F3" s="1115"/>
      <c r="G3" s="1115"/>
      <c r="H3" s="1115"/>
      <c r="I3" s="1115"/>
      <c r="J3" s="1115"/>
      <c r="K3" s="1115"/>
      <c r="L3" s="1115"/>
      <c r="M3" s="1115"/>
      <c r="N3" s="1115"/>
      <c r="O3" s="1115"/>
      <c r="P3" s="161"/>
    </row>
    <row r="4" spans="2:17" s="158" customFormat="1" ht="18" customHeight="1">
      <c r="B4" s="1116" t="s">
        <v>2303</v>
      </c>
      <c r="C4" s="1116"/>
      <c r="D4" s="1116"/>
      <c r="E4" s="1116"/>
      <c r="F4" s="1116"/>
      <c r="G4" s="1116"/>
      <c r="H4" s="1116"/>
      <c r="I4" s="1116"/>
      <c r="J4" s="1116"/>
      <c r="K4" s="1116"/>
      <c r="L4" s="1116"/>
      <c r="M4" s="1116"/>
      <c r="N4" s="1116"/>
      <c r="O4" s="1116"/>
      <c r="P4" s="161"/>
    </row>
    <row r="5" spans="2:17" s="158" customFormat="1" ht="8.25" customHeight="1">
      <c r="B5" s="163"/>
      <c r="C5" s="164"/>
      <c r="D5" s="164"/>
      <c r="E5" s="164"/>
      <c r="F5" s="165"/>
      <c r="G5" s="164"/>
      <c r="H5" s="164"/>
      <c r="I5" s="166"/>
      <c r="J5" s="164"/>
      <c r="K5" s="167"/>
      <c r="L5" s="167"/>
      <c r="M5" s="167"/>
      <c r="N5" s="167"/>
      <c r="O5" s="167"/>
      <c r="P5" s="161"/>
    </row>
    <row r="6" spans="2:17" s="158" customFormat="1" ht="17.25" customHeight="1">
      <c r="B6" s="169"/>
      <c r="C6" s="1112"/>
      <c r="D6" s="1112"/>
      <c r="E6" s="1112"/>
      <c r="F6" s="1112"/>
      <c r="G6" s="170"/>
      <c r="H6" s="1113" t="s">
        <v>2326</v>
      </c>
      <c r="I6" s="1113"/>
      <c r="J6" s="1113"/>
      <c r="K6" s="1113"/>
      <c r="L6" s="1113"/>
      <c r="M6" s="171"/>
      <c r="N6" s="171"/>
      <c r="O6" s="172"/>
      <c r="P6" s="161"/>
    </row>
    <row r="7" spans="2:17" s="174" customFormat="1" ht="22.5" customHeight="1">
      <c r="B7" s="175" t="s">
        <v>13</v>
      </c>
      <c r="C7" s="176" t="s">
        <v>2305</v>
      </c>
      <c r="D7" s="176" t="s">
        <v>2306</v>
      </c>
      <c r="E7" s="176" t="s">
        <v>2307</v>
      </c>
      <c r="F7" s="176" t="s">
        <v>2308</v>
      </c>
      <c r="G7" s="177" t="s">
        <v>20</v>
      </c>
      <c r="H7" s="178" t="s">
        <v>2309</v>
      </c>
      <c r="I7" s="178" t="s">
        <v>2310</v>
      </c>
      <c r="J7" s="178" t="s">
        <v>2311</v>
      </c>
      <c r="K7" s="178" t="s">
        <v>2312</v>
      </c>
      <c r="L7" s="178" t="s">
        <v>2313</v>
      </c>
      <c r="M7" s="178" t="s">
        <v>2314</v>
      </c>
      <c r="N7" s="178" t="s">
        <v>2315</v>
      </c>
      <c r="O7" s="179" t="s">
        <v>2316</v>
      </c>
      <c r="P7" s="180" t="s">
        <v>1083</v>
      </c>
    </row>
    <row r="8" spans="2:17" s="224" customFormat="1" ht="12.75" customHeight="1">
      <c r="B8" s="182"/>
      <c r="C8" s="1107" t="s">
        <v>2327</v>
      </c>
      <c r="D8" s="225"/>
      <c r="E8" s="226"/>
      <c r="F8" s="225">
        <f>F26</f>
        <v>0</v>
      </c>
      <c r="G8" s="227" t="e">
        <f>F8/$F$26</f>
        <v>#DIV/0!</v>
      </c>
      <c r="H8" s="228"/>
      <c r="I8" s="228" t="e">
        <f t="shared" ref="I8:O8" si="0">ABS($F8*I9)</f>
        <v>#DIV/0!</v>
      </c>
      <c r="J8" s="228" t="e">
        <f t="shared" si="0"/>
        <v>#DIV/0!</v>
      </c>
      <c r="K8" s="228" t="e">
        <f t="shared" si="0"/>
        <v>#DIV/0!</v>
      </c>
      <c r="L8" s="228" t="e">
        <f t="shared" si="0"/>
        <v>#DIV/0!</v>
      </c>
      <c r="M8" s="228" t="e">
        <f t="shared" si="0"/>
        <v>#DIV/0!</v>
      </c>
      <c r="N8" s="228" t="e">
        <f t="shared" si="0"/>
        <v>#DIV/0!</v>
      </c>
      <c r="O8" s="229" t="e">
        <f t="shared" si="0"/>
        <v>#DIV/0!</v>
      </c>
      <c r="P8" s="230"/>
    </row>
    <row r="9" spans="2:17" s="224" customFormat="1" ht="12.75">
      <c r="B9" s="182"/>
      <c r="C9" s="1107"/>
      <c r="D9" s="225"/>
      <c r="E9" s="231"/>
      <c r="F9" s="225"/>
      <c r="G9" s="227"/>
      <c r="H9" s="227"/>
      <c r="I9" s="232" t="e">
        <f t="shared" ref="I9:M9" si="1">(I11+I14+I17+I20+I23)/$F$8</f>
        <v>#DIV/0!</v>
      </c>
      <c r="J9" s="232" t="e">
        <f t="shared" si="1"/>
        <v>#DIV/0!</v>
      </c>
      <c r="K9" s="232" t="e">
        <f t="shared" si="1"/>
        <v>#DIV/0!</v>
      </c>
      <c r="L9" s="232" t="e">
        <f t="shared" si="1"/>
        <v>#DIV/0!</v>
      </c>
      <c r="M9" s="232" t="e">
        <f t="shared" si="1"/>
        <v>#DIV/0!</v>
      </c>
      <c r="N9" s="232" t="e">
        <f>(N11+N14+N17+N20+N23)/$F$8</f>
        <v>#DIV/0!</v>
      </c>
      <c r="O9" s="233" t="e">
        <f>(O11+O14+O17+O20+O23)/$F$8</f>
        <v>#DIV/0!</v>
      </c>
      <c r="P9" s="230" t="e">
        <f>SUM(H9:O9)</f>
        <v>#DIV/0!</v>
      </c>
      <c r="Q9" s="230" t="e">
        <f>1-P9</f>
        <v>#DIV/0!</v>
      </c>
    </row>
    <row r="10" spans="2:17" s="158" customFormat="1" ht="3.75" customHeight="1">
      <c r="B10" s="629"/>
      <c r="C10" s="630"/>
      <c r="D10" s="623"/>
      <c r="E10" s="624"/>
      <c r="F10" s="623"/>
      <c r="G10" s="625"/>
      <c r="H10" s="626"/>
      <c r="I10" s="626" t="e">
        <f t="shared" ref="I10:O10" si="2">I9</f>
        <v>#DIV/0!</v>
      </c>
      <c r="J10" s="626" t="e">
        <f t="shared" si="2"/>
        <v>#DIV/0!</v>
      </c>
      <c r="K10" s="626" t="e">
        <f t="shared" si="2"/>
        <v>#DIV/0!</v>
      </c>
      <c r="L10" s="626" t="e">
        <f t="shared" si="2"/>
        <v>#DIV/0!</v>
      </c>
      <c r="M10" s="626" t="e">
        <f t="shared" si="2"/>
        <v>#DIV/0!</v>
      </c>
      <c r="N10" s="626" t="e">
        <f t="shared" si="2"/>
        <v>#DIV/0!</v>
      </c>
      <c r="O10" s="627" t="e">
        <f t="shared" si="2"/>
        <v>#DIV/0!</v>
      </c>
      <c r="P10" s="161" t="e">
        <f>SUM(H10:O10)</f>
        <v>#DIV/0!</v>
      </c>
    </row>
    <row r="11" spans="2:17" s="158" customFormat="1" ht="20.25" customHeight="1">
      <c r="B11" s="182" t="str">
        <f>ORÇAMENTO!C693</f>
        <v>1.00</v>
      </c>
      <c r="C11" s="1107" t="str">
        <f>ORÇAMENTO!D693</f>
        <v>CÂMERAS</v>
      </c>
      <c r="D11" s="183">
        <f>ORÇAMENTO!J693</f>
        <v>0</v>
      </c>
      <c r="E11" s="184">
        <f>E8</f>
        <v>0</v>
      </c>
      <c r="F11" s="183">
        <f>D11</f>
        <v>0</v>
      </c>
      <c r="G11" s="185" t="e">
        <f>F11/$F$26</f>
        <v>#DIV/0!</v>
      </c>
      <c r="H11" s="186"/>
      <c r="I11" s="186"/>
      <c r="J11" s="186"/>
      <c r="K11" s="197"/>
      <c r="L11" s="197"/>
      <c r="M11" s="186">
        <f>ABS($F11*M12)</f>
        <v>0</v>
      </c>
      <c r="N11" s="186">
        <f>ABS($F11*N12)</f>
        <v>0</v>
      </c>
      <c r="O11" s="187">
        <f>ABS($F11*O12)</f>
        <v>0</v>
      </c>
      <c r="P11" s="161"/>
    </row>
    <row r="12" spans="2:17" s="158" customFormat="1" ht="13.5">
      <c r="B12" s="182"/>
      <c r="C12" s="1107"/>
      <c r="D12" s="183"/>
      <c r="E12" s="189"/>
      <c r="F12" s="183"/>
      <c r="G12" s="208"/>
      <c r="H12" s="203"/>
      <c r="I12" s="203"/>
      <c r="J12" s="203"/>
      <c r="K12" s="208"/>
      <c r="L12" s="208"/>
      <c r="M12" s="204">
        <v>0.1</v>
      </c>
      <c r="N12" s="204">
        <v>0.5</v>
      </c>
      <c r="O12" s="205">
        <v>0.4</v>
      </c>
      <c r="P12" s="161">
        <f>SUM(H12:O12)</f>
        <v>1</v>
      </c>
    </row>
    <row r="13" spans="2:17" s="158" customFormat="1" ht="3.75" customHeight="1">
      <c r="B13" s="629"/>
      <c r="C13" s="632"/>
      <c r="D13" s="623"/>
      <c r="E13" s="636"/>
      <c r="F13" s="623"/>
      <c r="G13" s="626"/>
      <c r="H13" s="626"/>
      <c r="I13" s="626"/>
      <c r="J13" s="626"/>
      <c r="K13" s="628"/>
      <c r="L13" s="628"/>
      <c r="M13" s="626">
        <f>M12</f>
        <v>0.1</v>
      </c>
      <c r="N13" s="626">
        <f>N12</f>
        <v>0.5</v>
      </c>
      <c r="O13" s="627">
        <f>O12</f>
        <v>0.4</v>
      </c>
      <c r="P13" s="161">
        <f>SUM(H13:O13)</f>
        <v>1</v>
      </c>
    </row>
    <row r="14" spans="2:17" s="158" customFormat="1" ht="17.25" customHeight="1">
      <c r="B14" s="182" t="str">
        <f>ORÇAMENTO!C695</f>
        <v>2.00</v>
      </c>
      <c r="C14" s="1109" t="str">
        <f>ORÇAMENTO!D695</f>
        <v>APARELHOS DE AR CONDICIONADO</v>
      </c>
      <c r="D14" s="183">
        <f>ORÇAMENTO!J695</f>
        <v>0</v>
      </c>
      <c r="E14" s="184">
        <f>E11</f>
        <v>0</v>
      </c>
      <c r="F14" s="183">
        <f>D14</f>
        <v>0</v>
      </c>
      <c r="G14" s="185" t="e">
        <f>F14/$F$26</f>
        <v>#DIV/0!</v>
      </c>
      <c r="H14" s="186"/>
      <c r="I14" s="197"/>
      <c r="J14" s="197"/>
      <c r="K14" s="186">
        <f>ABS($F14*K15)</f>
        <v>0</v>
      </c>
      <c r="L14" s="186">
        <f>ABS($F14*L15)</f>
        <v>0</v>
      </c>
      <c r="M14" s="186">
        <f>ABS($F14*M15)</f>
        <v>0</v>
      </c>
      <c r="N14" s="186">
        <f>ABS($F14*N15)</f>
        <v>0</v>
      </c>
      <c r="O14" s="187">
        <f>ABS($F14*O15)</f>
        <v>0</v>
      </c>
      <c r="P14" s="161"/>
    </row>
    <row r="15" spans="2:17" s="158" customFormat="1" ht="13.5">
      <c r="B15" s="182"/>
      <c r="C15" s="1109"/>
      <c r="D15" s="183"/>
      <c r="E15" s="189"/>
      <c r="F15" s="183"/>
      <c r="G15" s="185"/>
      <c r="H15" s="203"/>
      <c r="I15" s="208"/>
      <c r="J15" s="208"/>
      <c r="K15" s="204">
        <v>0.1</v>
      </c>
      <c r="L15" s="204">
        <v>0.3</v>
      </c>
      <c r="M15" s="204">
        <v>0.4</v>
      </c>
      <c r="N15" s="880">
        <v>0.1</v>
      </c>
      <c r="O15" s="205">
        <v>0.1</v>
      </c>
      <c r="P15" s="161">
        <f>SUM(H15:O15)</f>
        <v>1</v>
      </c>
    </row>
    <row r="16" spans="2:17" s="158" customFormat="1" ht="3.75" customHeight="1">
      <c r="B16" s="629"/>
      <c r="C16" s="630"/>
      <c r="D16" s="623"/>
      <c r="E16" s="624"/>
      <c r="F16" s="623"/>
      <c r="G16" s="625"/>
      <c r="H16" s="626"/>
      <c r="I16" s="626"/>
      <c r="J16" s="628"/>
      <c r="K16" s="626">
        <f>K15</f>
        <v>0.1</v>
      </c>
      <c r="L16" s="626">
        <f>L15</f>
        <v>0.3</v>
      </c>
      <c r="M16" s="626">
        <f>M15</f>
        <v>0.4</v>
      </c>
      <c r="N16" s="626">
        <f>N15</f>
        <v>0.1</v>
      </c>
      <c r="O16" s="627">
        <f>O15</f>
        <v>0.1</v>
      </c>
      <c r="P16" s="161">
        <f>SUM(H16:O16)</f>
        <v>1</v>
      </c>
    </row>
    <row r="17" spans="2:16" s="158" customFormat="1" ht="17.25" customHeight="1">
      <c r="B17" s="182" t="str">
        <f>ORÇAMENTO!C701</f>
        <v>3.00</v>
      </c>
      <c r="C17" s="1109" t="str">
        <f>ORÇAMENTO!D701</f>
        <v>APARELHOS HIDRÁULICOS</v>
      </c>
      <c r="D17" s="183">
        <f>ORÇAMENTO!J701</f>
        <v>0</v>
      </c>
      <c r="E17" s="184">
        <f>E11</f>
        <v>0</v>
      </c>
      <c r="F17" s="183">
        <f>D17</f>
        <v>0</v>
      </c>
      <c r="G17" s="185" t="e">
        <f>F17/$F$26</f>
        <v>#DIV/0!</v>
      </c>
      <c r="H17" s="186"/>
      <c r="I17" s="197"/>
      <c r="J17" s="197"/>
      <c r="K17" s="186">
        <f>ABS($F17*K18)</f>
        <v>0</v>
      </c>
      <c r="L17" s="186">
        <f>ABS($F17*L18)</f>
        <v>0</v>
      </c>
      <c r="M17" s="186">
        <f>ABS($F17*M18)</f>
        <v>0</v>
      </c>
      <c r="N17" s="186">
        <f>ABS($F17*N18)</f>
        <v>0</v>
      </c>
      <c r="O17" s="187">
        <f>ABS($F17*O18)</f>
        <v>0</v>
      </c>
      <c r="P17" s="161"/>
    </row>
    <row r="18" spans="2:16" s="158" customFormat="1" ht="13.5">
      <c r="B18" s="182"/>
      <c r="C18" s="1109"/>
      <c r="D18" s="183"/>
      <c r="E18" s="189"/>
      <c r="F18" s="183"/>
      <c r="G18" s="185"/>
      <c r="H18" s="203"/>
      <c r="I18" s="208"/>
      <c r="J18" s="208"/>
      <c r="K18" s="204">
        <v>0.1</v>
      </c>
      <c r="L18" s="204">
        <v>0.2</v>
      </c>
      <c r="M18" s="204">
        <v>0.4</v>
      </c>
      <c r="N18" s="880">
        <v>0.2</v>
      </c>
      <c r="O18" s="205">
        <v>0.1</v>
      </c>
      <c r="P18" s="161">
        <f>SUM(H18:O18)</f>
        <v>1.0000000000000002</v>
      </c>
    </row>
    <row r="19" spans="2:16" s="158" customFormat="1" ht="3.75" customHeight="1">
      <c r="B19" s="629"/>
      <c r="C19" s="632"/>
      <c r="D19" s="623"/>
      <c r="E19" s="636"/>
      <c r="F19" s="623"/>
      <c r="G19" s="625"/>
      <c r="H19" s="626"/>
      <c r="I19" s="628"/>
      <c r="J19" s="628"/>
      <c r="K19" s="626">
        <f>K18</f>
        <v>0.1</v>
      </c>
      <c r="L19" s="626">
        <f>L18</f>
        <v>0.2</v>
      </c>
      <c r="M19" s="626">
        <f>M18</f>
        <v>0.4</v>
      </c>
      <c r="N19" s="626">
        <f>N18</f>
        <v>0.2</v>
      </c>
      <c r="O19" s="627">
        <f>O18</f>
        <v>0.1</v>
      </c>
      <c r="P19" s="161">
        <f>SUM(H19:O19)</f>
        <v>1.0000000000000002</v>
      </c>
    </row>
    <row r="20" spans="2:16" s="158" customFormat="1" ht="13.5" customHeight="1">
      <c r="B20" s="182" t="str">
        <f>ORÇAMENTO!C703</f>
        <v>4.00</v>
      </c>
      <c r="C20" s="1109" t="str">
        <f>ORÇAMENTO!D703</f>
        <v>APARELHOS ELETRÔNICOS</v>
      </c>
      <c r="D20" s="183">
        <f>ORÇAMENTO!J703</f>
        <v>0</v>
      </c>
      <c r="E20" s="184">
        <f>E17</f>
        <v>0</v>
      </c>
      <c r="F20" s="183">
        <f>D20</f>
        <v>0</v>
      </c>
      <c r="G20" s="185" t="e">
        <f>F20/$F$26</f>
        <v>#DIV/0!</v>
      </c>
      <c r="H20" s="197"/>
      <c r="I20" s="186">
        <f t="shared" ref="I20:N20" si="3">ABS($F20*I21)</f>
        <v>0</v>
      </c>
      <c r="J20" s="186">
        <f t="shared" si="3"/>
        <v>0</v>
      </c>
      <c r="K20" s="186">
        <f t="shared" si="3"/>
        <v>0</v>
      </c>
      <c r="L20" s="186">
        <f t="shared" si="3"/>
        <v>0</v>
      </c>
      <c r="M20" s="186">
        <f t="shared" si="3"/>
        <v>0</v>
      </c>
      <c r="N20" s="186">
        <f t="shared" si="3"/>
        <v>0</v>
      </c>
      <c r="O20" s="187"/>
      <c r="P20" s="161"/>
    </row>
    <row r="21" spans="2:16" s="158" customFormat="1" ht="13.5">
      <c r="B21" s="182"/>
      <c r="C21" s="1109"/>
      <c r="D21" s="183"/>
      <c r="E21" s="189"/>
      <c r="F21" s="183"/>
      <c r="G21" s="185"/>
      <c r="H21" s="208"/>
      <c r="I21" s="204">
        <v>0.05</v>
      </c>
      <c r="J21" s="204">
        <v>0.15</v>
      </c>
      <c r="K21" s="204">
        <v>0.15</v>
      </c>
      <c r="L21" s="204">
        <v>0.15</v>
      </c>
      <c r="M21" s="204">
        <v>0.15</v>
      </c>
      <c r="N21" s="880">
        <v>0.35</v>
      </c>
      <c r="O21" s="196"/>
      <c r="P21" s="161">
        <f>SUM(H21:O21)</f>
        <v>1</v>
      </c>
    </row>
    <row r="22" spans="2:16" s="158" customFormat="1" ht="3.75" customHeight="1">
      <c r="B22" s="629"/>
      <c r="C22" s="630"/>
      <c r="D22" s="623"/>
      <c r="E22" s="624"/>
      <c r="F22" s="623"/>
      <c r="G22" s="625"/>
      <c r="H22" s="626"/>
      <c r="I22" s="626">
        <f t="shared" ref="I22:N22" si="4">I21</f>
        <v>0.05</v>
      </c>
      <c r="J22" s="626">
        <f t="shared" si="4"/>
        <v>0.15</v>
      </c>
      <c r="K22" s="626">
        <f t="shared" si="4"/>
        <v>0.15</v>
      </c>
      <c r="L22" s="626">
        <f t="shared" si="4"/>
        <v>0.15</v>
      </c>
      <c r="M22" s="626">
        <f t="shared" si="4"/>
        <v>0.15</v>
      </c>
      <c r="N22" s="626">
        <f t="shared" si="4"/>
        <v>0.35</v>
      </c>
      <c r="O22" s="627"/>
      <c r="P22" s="161">
        <f>SUM(H22:O22)</f>
        <v>1</v>
      </c>
    </row>
    <row r="23" spans="2:16" s="158" customFormat="1" ht="13.5" customHeight="1">
      <c r="B23" s="182" t="str">
        <f>ORÇAMENTO!C727</f>
        <v>5.00</v>
      </c>
      <c r="C23" s="1109" t="str">
        <f>ORÇAMENTO!D727</f>
        <v>SUBESTAÇÃO</v>
      </c>
      <c r="D23" s="183">
        <f>ORÇAMENTO!J727</f>
        <v>0</v>
      </c>
      <c r="E23" s="184">
        <f>E20</f>
        <v>0</v>
      </c>
      <c r="F23" s="183">
        <f>D23</f>
        <v>0</v>
      </c>
      <c r="G23" s="185" t="e">
        <f>F23/$F$26</f>
        <v>#DIV/0!</v>
      </c>
      <c r="H23" s="186"/>
      <c r="I23" s="186"/>
      <c r="J23" s="186"/>
      <c r="K23" s="186">
        <f>ABS($F23*K24)</f>
        <v>0</v>
      </c>
      <c r="L23" s="186">
        <f>ABS($F23*L24)</f>
        <v>0</v>
      </c>
      <c r="M23" s="186">
        <f>ABS($F23*M24)</f>
        <v>0</v>
      </c>
      <c r="N23" s="186">
        <f>ABS($F23*N24)</f>
        <v>0</v>
      </c>
      <c r="O23" s="187">
        <f>ABS($F23*O24)</f>
        <v>0</v>
      </c>
      <c r="P23" s="161"/>
    </row>
    <row r="24" spans="2:16" s="158" customFormat="1" ht="13.5">
      <c r="B24" s="182"/>
      <c r="C24" s="1109"/>
      <c r="D24" s="183"/>
      <c r="E24" s="189"/>
      <c r="F24" s="183"/>
      <c r="G24" s="185"/>
      <c r="H24" s="203"/>
      <c r="I24" s="203"/>
      <c r="J24" s="203"/>
      <c r="K24" s="204">
        <v>0.1</v>
      </c>
      <c r="L24" s="204">
        <v>0.3</v>
      </c>
      <c r="M24" s="204">
        <v>0.3</v>
      </c>
      <c r="N24" s="880">
        <v>0.2</v>
      </c>
      <c r="O24" s="205">
        <v>0.1</v>
      </c>
      <c r="P24" s="161">
        <f>SUM(H24:O24)</f>
        <v>0.99999999999999989</v>
      </c>
    </row>
    <row r="25" spans="2:16" s="158" customFormat="1" ht="3.75" customHeight="1">
      <c r="B25" s="629"/>
      <c r="C25" s="630"/>
      <c r="D25" s="623"/>
      <c r="E25" s="624"/>
      <c r="F25" s="623"/>
      <c r="G25" s="625"/>
      <c r="H25" s="626"/>
      <c r="I25" s="626"/>
      <c r="J25" s="626"/>
      <c r="K25" s="626">
        <f>K24</f>
        <v>0.1</v>
      </c>
      <c r="L25" s="626">
        <f>L24</f>
        <v>0.3</v>
      </c>
      <c r="M25" s="626">
        <f>M24</f>
        <v>0.3</v>
      </c>
      <c r="N25" s="626">
        <f>N24</f>
        <v>0.2</v>
      </c>
      <c r="O25" s="627">
        <f>O24</f>
        <v>0.1</v>
      </c>
      <c r="P25" s="161">
        <f>SUM(H25:O25)</f>
        <v>0.99999999999999989</v>
      </c>
    </row>
    <row r="26" spans="2:16" s="158" customFormat="1" ht="15" customHeight="1">
      <c r="B26" s="211" t="s">
        <v>2317</v>
      </c>
      <c r="C26" s="212" t="s">
        <v>2318</v>
      </c>
      <c r="D26" s="486">
        <f>D11+D14+D17+D20+D23</f>
        <v>0</v>
      </c>
      <c r="E26" s="486"/>
      <c r="F26" s="486">
        <f>F11+F14+F17+F20+F23</f>
        <v>0</v>
      </c>
      <c r="G26" s="487" t="e">
        <f>SUM(G11:G25)</f>
        <v>#DIV/0!</v>
      </c>
      <c r="H26" s="486">
        <f t="shared" ref="H26:O26" si="5">H11+H14+H17+H20+H23</f>
        <v>0</v>
      </c>
      <c r="I26" s="486">
        <f t="shared" si="5"/>
        <v>0</v>
      </c>
      <c r="J26" s="486">
        <f t="shared" si="5"/>
        <v>0</v>
      </c>
      <c r="K26" s="486">
        <f t="shared" si="5"/>
        <v>0</v>
      </c>
      <c r="L26" s="486">
        <f t="shared" si="5"/>
        <v>0</v>
      </c>
      <c r="M26" s="486">
        <f t="shared" si="5"/>
        <v>0</v>
      </c>
      <c r="N26" s="486">
        <f t="shared" ref="N26" si="6">N11+N14+N17+N20+N23</f>
        <v>0</v>
      </c>
      <c r="O26" s="234">
        <f t="shared" si="5"/>
        <v>0</v>
      </c>
      <c r="P26" s="161"/>
    </row>
    <row r="27" spans="2:16" s="158" customFormat="1" ht="15" customHeight="1">
      <c r="B27" s="211" t="s">
        <v>2319</v>
      </c>
      <c r="C27" s="213" t="s">
        <v>2320</v>
      </c>
      <c r="D27" s="213"/>
      <c r="E27" s="213"/>
      <c r="F27" s="214"/>
      <c r="G27" s="215"/>
      <c r="H27" s="488">
        <f>H26</f>
        <v>0</v>
      </c>
      <c r="I27" s="488">
        <f t="shared" ref="I27:N27" si="7">I26+H27</f>
        <v>0</v>
      </c>
      <c r="J27" s="488">
        <f t="shared" si="7"/>
        <v>0</v>
      </c>
      <c r="K27" s="488">
        <f t="shared" si="7"/>
        <v>0</v>
      </c>
      <c r="L27" s="488">
        <f t="shared" si="7"/>
        <v>0</v>
      </c>
      <c r="M27" s="488">
        <f t="shared" si="7"/>
        <v>0</v>
      </c>
      <c r="N27" s="488">
        <f t="shared" si="7"/>
        <v>0</v>
      </c>
      <c r="O27" s="216">
        <f>O26+N27</f>
        <v>0</v>
      </c>
      <c r="P27" s="161"/>
    </row>
    <row r="28" spans="2:16" s="158" customFormat="1" ht="15" customHeight="1">
      <c r="B28" s="211" t="s">
        <v>2321</v>
      </c>
      <c r="C28" s="213" t="s">
        <v>2322</v>
      </c>
      <c r="D28" s="213"/>
      <c r="E28" s="213"/>
      <c r="F28" s="214"/>
      <c r="G28" s="217"/>
      <c r="H28" s="638" t="e">
        <f>H26/F26</f>
        <v>#DIV/0!</v>
      </c>
      <c r="I28" s="638" t="e">
        <f t="shared" ref="I28:O28" si="8">I26/$F$26</f>
        <v>#DIV/0!</v>
      </c>
      <c r="J28" s="638" t="e">
        <f t="shared" si="8"/>
        <v>#DIV/0!</v>
      </c>
      <c r="K28" s="638" t="e">
        <f t="shared" si="8"/>
        <v>#DIV/0!</v>
      </c>
      <c r="L28" s="638" t="e">
        <f t="shared" si="8"/>
        <v>#DIV/0!</v>
      </c>
      <c r="M28" s="638" t="e">
        <f t="shared" si="8"/>
        <v>#DIV/0!</v>
      </c>
      <c r="N28" s="638" t="e">
        <f t="shared" ref="N28" si="9">N26/$F$26</f>
        <v>#DIV/0!</v>
      </c>
      <c r="O28" s="639" t="e">
        <f t="shared" si="8"/>
        <v>#DIV/0!</v>
      </c>
      <c r="P28" s="161"/>
    </row>
    <row r="29" spans="2:16" s="158" customFormat="1" ht="15" customHeight="1">
      <c r="B29" s="218" t="s">
        <v>2323</v>
      </c>
      <c r="C29" s="219" t="s">
        <v>2324</v>
      </c>
      <c r="D29" s="219"/>
      <c r="E29" s="219"/>
      <c r="F29" s="220"/>
      <c r="G29" s="221"/>
      <c r="H29" s="222" t="e">
        <f>H28</f>
        <v>#DIV/0!</v>
      </c>
      <c r="I29" s="222" t="e">
        <f t="shared" ref="I29:N29" si="10">I28+H29</f>
        <v>#DIV/0!</v>
      </c>
      <c r="J29" s="222" t="e">
        <f t="shared" si="10"/>
        <v>#DIV/0!</v>
      </c>
      <c r="K29" s="222" t="e">
        <f t="shared" si="10"/>
        <v>#DIV/0!</v>
      </c>
      <c r="L29" s="222" t="e">
        <f t="shared" si="10"/>
        <v>#DIV/0!</v>
      </c>
      <c r="M29" s="222" t="e">
        <f t="shared" si="10"/>
        <v>#DIV/0!</v>
      </c>
      <c r="N29" s="222" t="e">
        <f t="shared" si="10"/>
        <v>#DIV/0!</v>
      </c>
      <c r="O29" s="223" t="e">
        <f>O28+N29</f>
        <v>#DIV/0!</v>
      </c>
      <c r="P29" s="161"/>
    </row>
    <row r="30" spans="2:16" s="158" customFormat="1" ht="14.25">
      <c r="B30" s="159"/>
      <c r="I30" s="158" t="s">
        <v>1083</v>
      </c>
      <c r="J30" s="200" t="s">
        <v>1083</v>
      </c>
      <c r="P30" s="161"/>
    </row>
  </sheetData>
  <sheetProtection selectLockedCells="1" selectUnlockedCells="1"/>
  <mergeCells count="11">
    <mergeCell ref="B2:O2"/>
    <mergeCell ref="B3:O3"/>
    <mergeCell ref="B4:O4"/>
    <mergeCell ref="C23:C24"/>
    <mergeCell ref="C6:F6"/>
    <mergeCell ref="H6:L6"/>
    <mergeCell ref="C8:C9"/>
    <mergeCell ref="C11:C12"/>
    <mergeCell ref="C14:C15"/>
    <mergeCell ref="C17:C18"/>
    <mergeCell ref="C20:C21"/>
  </mergeCells>
  <conditionalFormatting sqref="G13:O13">
    <cfRule type="cellIs" dxfId="5" priority="1" stopIfTrue="1" operator="greaterThan">
      <formula>0</formula>
    </cfRule>
  </conditionalFormatting>
  <conditionalFormatting sqref="H10:O10">
    <cfRule type="cellIs" dxfId="4" priority="2" stopIfTrue="1" operator="greaterThan">
      <formula>0</formula>
    </cfRule>
  </conditionalFormatting>
  <conditionalFormatting sqref="H16:O16">
    <cfRule type="cellIs" dxfId="3" priority="9" stopIfTrue="1" operator="greaterThan">
      <formula>0</formula>
    </cfRule>
  </conditionalFormatting>
  <conditionalFormatting sqref="H19:O19">
    <cfRule type="cellIs" dxfId="2" priority="14" stopIfTrue="1" operator="greaterThan">
      <formula>0</formula>
    </cfRule>
  </conditionalFormatting>
  <conditionalFormatting sqref="H22:O22">
    <cfRule type="cellIs" dxfId="1" priority="19" stopIfTrue="1" operator="greaterThan">
      <formula>0</formula>
    </cfRule>
  </conditionalFormatting>
  <conditionalFormatting sqref="H25:O25">
    <cfRule type="cellIs" dxfId="0" priority="23" stopIfTrue="1" operator="greaterThan">
      <formula>0</formula>
    </cfRule>
  </conditionalFormatting>
  <pageMargins left="0.51180555555555551" right="0.51180555555555551" top="0.39374999999999999" bottom="0.35416666666666669" header="0.51180555555555551" footer="0.51180555555555551"/>
  <pageSetup paperSize="9" firstPageNumber="0" fitToHeight="0" orientation="landscape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204"/>
  <sheetViews>
    <sheetView view="pageBreakPreview" zoomScaleSheetLayoutView="100" workbookViewId="0">
      <selection sqref="A1:XFD1048576"/>
    </sheetView>
  </sheetViews>
  <sheetFormatPr defaultColWidth="9" defaultRowHeight="15"/>
  <cols>
    <col min="1" max="1" width="19.28515625" customWidth="1"/>
    <col min="2" max="2" width="51.5703125" customWidth="1"/>
    <col min="3" max="3" width="13.7109375" customWidth="1"/>
    <col min="4" max="4" width="11.7109375" customWidth="1"/>
    <col min="5" max="5" width="14" customWidth="1"/>
    <col min="6" max="6" width="16.7109375" customWidth="1"/>
  </cols>
  <sheetData>
    <row r="1" spans="1:6" ht="60" customHeight="1">
      <c r="A1" s="1134" t="s">
        <v>2328</v>
      </c>
      <c r="B1" s="1134"/>
      <c r="C1" s="1134"/>
      <c r="D1" s="1134"/>
      <c r="E1" s="1134"/>
      <c r="F1" s="1134"/>
    </row>
    <row r="2" spans="1:6" ht="15" customHeight="1">
      <c r="A2" s="1135" t="s">
        <v>2329</v>
      </c>
      <c r="B2" s="1136"/>
      <c r="C2" s="1136"/>
      <c r="D2" s="1136"/>
      <c r="E2" s="1136"/>
      <c r="F2" s="1137"/>
    </row>
    <row r="3" spans="1:6" ht="15" customHeight="1">
      <c r="A3" s="490" t="s">
        <v>2330</v>
      </c>
      <c r="B3" s="1138" t="s">
        <v>2331</v>
      </c>
      <c r="C3" s="1139"/>
      <c r="D3" s="1139"/>
      <c r="E3" s="1140"/>
      <c r="F3" s="490" t="s">
        <v>2332</v>
      </c>
    </row>
    <row r="4" spans="1:6" ht="27.6" customHeight="1">
      <c r="A4" s="348" t="s">
        <v>2333</v>
      </c>
      <c r="B4" s="1125" t="s">
        <v>633</v>
      </c>
      <c r="C4" s="1144"/>
      <c r="D4" s="1144"/>
      <c r="E4" s="1145"/>
      <c r="F4" s="500" t="s">
        <v>2334</v>
      </c>
    </row>
    <row r="5" spans="1:6" ht="15" customHeight="1">
      <c r="A5" s="1138" t="s">
        <v>2335</v>
      </c>
      <c r="B5" s="1139"/>
      <c r="C5" s="1139"/>
      <c r="D5" s="1139"/>
      <c r="E5" s="1139"/>
      <c r="F5" s="1140"/>
    </row>
    <row r="6" spans="1:6" ht="30">
      <c r="A6" s="490" t="s">
        <v>11</v>
      </c>
      <c r="B6" s="491" t="s">
        <v>2336</v>
      </c>
      <c r="C6" s="490" t="s">
        <v>2337</v>
      </c>
      <c r="D6" s="490" t="s">
        <v>16</v>
      </c>
      <c r="E6" s="490" t="s">
        <v>2338</v>
      </c>
      <c r="F6" s="490" t="s">
        <v>2339</v>
      </c>
    </row>
    <row r="7" spans="1:6" ht="28.5">
      <c r="A7" s="502" t="s">
        <v>2340</v>
      </c>
      <c r="B7" s="357" t="s">
        <v>2341</v>
      </c>
      <c r="C7" s="348" t="s">
        <v>40</v>
      </c>
      <c r="D7" s="349">
        <v>2</v>
      </c>
      <c r="E7" s="493">
        <v>27.09</v>
      </c>
      <c r="F7" s="493">
        <f>D7*E7</f>
        <v>54.18</v>
      </c>
    </row>
    <row r="8" spans="1:6" ht="28.5">
      <c r="A8" s="502" t="s">
        <v>2342</v>
      </c>
      <c r="B8" s="357" t="s">
        <v>2343</v>
      </c>
      <c r="C8" s="348" t="s">
        <v>40</v>
      </c>
      <c r="D8" s="349">
        <v>2</v>
      </c>
      <c r="E8" s="493">
        <v>18.34</v>
      </c>
      <c r="F8" s="493">
        <f>D8*E8</f>
        <v>36.68</v>
      </c>
    </row>
    <row r="9" spans="1:6" ht="42.75">
      <c r="A9" s="502" t="s">
        <v>2344</v>
      </c>
      <c r="B9" s="357" t="s">
        <v>2345</v>
      </c>
      <c r="C9" s="348" t="s">
        <v>96</v>
      </c>
      <c r="D9" s="349">
        <v>1</v>
      </c>
      <c r="E9" s="493">
        <v>179.89</v>
      </c>
      <c r="F9" s="493">
        <f>D9*E9</f>
        <v>179.89</v>
      </c>
    </row>
    <row r="10" spans="1:6" ht="42.75">
      <c r="A10" s="502" t="s">
        <v>2346</v>
      </c>
      <c r="B10" s="357" t="s">
        <v>2347</v>
      </c>
      <c r="C10" s="348" t="s">
        <v>96</v>
      </c>
      <c r="D10" s="349">
        <v>1</v>
      </c>
      <c r="E10" s="493">
        <v>799.89</v>
      </c>
      <c r="F10" s="493">
        <f>E10*D10</f>
        <v>799.89</v>
      </c>
    </row>
    <row r="11" spans="1:6">
      <c r="A11" s="502" t="s">
        <v>2348</v>
      </c>
      <c r="B11" s="357" t="s">
        <v>2349</v>
      </c>
      <c r="C11" s="348" t="s">
        <v>246</v>
      </c>
      <c r="D11" s="349">
        <v>1.8</v>
      </c>
      <c r="E11" s="493">
        <v>0.22</v>
      </c>
      <c r="F11" s="493">
        <f>E11*D11</f>
        <v>0.39600000000000002</v>
      </c>
    </row>
    <row r="12" spans="1:6" ht="15" customHeight="1">
      <c r="A12" s="1138" t="s">
        <v>1083</v>
      </c>
      <c r="B12" s="1139"/>
      <c r="C12" s="1139"/>
      <c r="D12" s="1139"/>
      <c r="E12" s="1139"/>
      <c r="F12" s="1140"/>
    </row>
    <row r="13" spans="1:6" ht="30">
      <c r="A13" s="490" t="s">
        <v>2350</v>
      </c>
      <c r="B13" s="490" t="s">
        <v>2351</v>
      </c>
      <c r="C13" s="490" t="s">
        <v>2352</v>
      </c>
      <c r="D13" s="494" t="s">
        <v>2353</v>
      </c>
      <c r="E13" s="495" t="s">
        <v>2354</v>
      </c>
      <c r="F13" s="495" t="s">
        <v>2355</v>
      </c>
    </row>
    <row r="14" spans="1:6">
      <c r="A14" s="709"/>
      <c r="B14" s="709">
        <f>F9+F10+F11</f>
        <v>980.17599999999993</v>
      </c>
      <c r="C14" s="709">
        <f>F7+F8</f>
        <v>90.86</v>
      </c>
      <c r="D14" s="709"/>
      <c r="E14" s="710"/>
      <c r="F14" s="537">
        <f>SUM(A14:E14)</f>
        <v>1071.0359999999998</v>
      </c>
    </row>
    <row r="15" spans="1:6">
      <c r="A15" s="1141"/>
      <c r="B15" s="1142"/>
      <c r="C15" s="1142"/>
      <c r="D15" s="1142"/>
      <c r="E15" s="1142"/>
      <c r="F15" s="1143"/>
    </row>
    <row r="16" spans="1:6" ht="14.45" customHeight="1">
      <c r="A16" s="1121" t="s">
        <v>2356</v>
      </c>
      <c r="B16" s="1121"/>
      <c r="C16" s="1121"/>
      <c r="D16" s="1121"/>
      <c r="E16" s="1121"/>
      <c r="F16" s="1121"/>
    </row>
    <row r="17" spans="1:6" ht="14.45" customHeight="1">
      <c r="A17" s="1122" t="s">
        <v>2357</v>
      </c>
      <c r="B17" s="1123"/>
      <c r="C17" s="1123"/>
      <c r="D17" s="1123"/>
      <c r="E17" s="1123"/>
      <c r="F17" s="1124"/>
    </row>
    <row r="18" spans="1:6" ht="14.45" customHeight="1">
      <c r="A18" s="506" t="s">
        <v>2330</v>
      </c>
      <c r="B18" s="1121" t="s">
        <v>2331</v>
      </c>
      <c r="C18" s="1121"/>
      <c r="D18" s="1121"/>
      <c r="E18" s="1121"/>
      <c r="F18" s="506" t="s">
        <v>2332</v>
      </c>
    </row>
    <row r="19" spans="1:6" ht="51" customHeight="1">
      <c r="A19" s="507" t="s">
        <v>2358</v>
      </c>
      <c r="B19" s="1130" t="s">
        <v>2359</v>
      </c>
      <c r="C19" s="1130"/>
      <c r="D19" s="1130"/>
      <c r="E19" s="1130"/>
      <c r="F19" s="516" t="s">
        <v>61</v>
      </c>
    </row>
    <row r="20" spans="1:6" ht="14.45" customHeight="1">
      <c r="A20" s="1128" t="s">
        <v>2335</v>
      </c>
      <c r="B20" s="1128"/>
      <c r="C20" s="1128"/>
      <c r="D20" s="1128"/>
      <c r="E20" s="1128"/>
      <c r="F20" s="1128"/>
    </row>
    <row r="21" spans="1:6">
      <c r="A21" s="507" t="s">
        <v>2360</v>
      </c>
      <c r="B21" s="508" t="s">
        <v>2361</v>
      </c>
      <c r="C21" s="509" t="s">
        <v>40</v>
      </c>
      <c r="D21" s="510">
        <v>0.4</v>
      </c>
      <c r="E21" s="511">
        <v>17.440000000000001</v>
      </c>
      <c r="F21" s="511">
        <f t="shared" ref="F21:F27" si="0">D21*E21</f>
        <v>6.9760000000000009</v>
      </c>
    </row>
    <row r="22" spans="1:6">
      <c r="A22" s="507" t="s">
        <v>2362</v>
      </c>
      <c r="B22" s="508" t="s">
        <v>2363</v>
      </c>
      <c r="C22" s="509" t="s">
        <v>40</v>
      </c>
      <c r="D22" s="510">
        <v>0.34</v>
      </c>
      <c r="E22" s="511">
        <v>12.89</v>
      </c>
      <c r="F22" s="511">
        <f t="shared" si="0"/>
        <v>4.3826000000000009</v>
      </c>
    </row>
    <row r="23" spans="1:6" ht="28.5">
      <c r="A23" s="507" t="s">
        <v>2364</v>
      </c>
      <c r="B23" s="508" t="s">
        <v>2365</v>
      </c>
      <c r="C23" s="509" t="s">
        <v>170</v>
      </c>
      <c r="D23" s="510">
        <v>0.66</v>
      </c>
      <c r="E23" s="511">
        <v>3.5</v>
      </c>
      <c r="F23" s="511">
        <f t="shared" si="0"/>
        <v>2.31</v>
      </c>
    </row>
    <row r="24" spans="1:6" ht="28.5">
      <c r="A24" s="507" t="s">
        <v>2366</v>
      </c>
      <c r="B24" s="508" t="s">
        <v>2367</v>
      </c>
      <c r="C24" s="509" t="s">
        <v>61</v>
      </c>
      <c r="D24" s="510">
        <v>1.05</v>
      </c>
      <c r="E24" s="511">
        <f>'COTAÇÃO CIVIL'!H14</f>
        <v>44.830000000000005</v>
      </c>
      <c r="F24" s="511">
        <f t="shared" si="0"/>
        <v>47.071500000000007</v>
      </c>
    </row>
    <row r="25" spans="1:6" ht="28.5">
      <c r="A25" s="507" t="s">
        <v>2368</v>
      </c>
      <c r="B25" s="508" t="s">
        <v>2369</v>
      </c>
      <c r="C25" s="509" t="s">
        <v>170</v>
      </c>
      <c r="D25" s="510">
        <v>4</v>
      </c>
      <c r="E25" s="511">
        <v>1.36</v>
      </c>
      <c r="F25" s="511">
        <f t="shared" si="0"/>
        <v>5.44</v>
      </c>
    </row>
    <row r="26" spans="1:6">
      <c r="A26" s="507" t="s">
        <v>2370</v>
      </c>
      <c r="B26" s="508" t="s">
        <v>2371</v>
      </c>
      <c r="C26" s="509" t="s">
        <v>40</v>
      </c>
      <c r="D26" s="510">
        <v>0.34</v>
      </c>
      <c r="E26" s="511">
        <v>3.81</v>
      </c>
      <c r="F26" s="511">
        <f t="shared" si="0"/>
        <v>1.2954000000000001</v>
      </c>
    </row>
    <row r="27" spans="1:6">
      <c r="A27" s="507" t="s">
        <v>2372</v>
      </c>
      <c r="B27" s="508" t="s">
        <v>2373</v>
      </c>
      <c r="C27" s="509" t="s">
        <v>40</v>
      </c>
      <c r="D27" s="510">
        <v>0.4</v>
      </c>
      <c r="E27" s="511">
        <v>3.71</v>
      </c>
      <c r="F27" s="511">
        <f t="shared" si="0"/>
        <v>1.484</v>
      </c>
    </row>
    <row r="28" spans="1:6" ht="14.45" customHeight="1">
      <c r="A28" s="1131" t="s">
        <v>2374</v>
      </c>
      <c r="B28" s="1132"/>
      <c r="C28" s="1132"/>
      <c r="D28" s="1132"/>
      <c r="E28" s="1132"/>
      <c r="F28" s="1133"/>
    </row>
    <row r="29" spans="1:6" ht="30">
      <c r="A29" s="506" t="s">
        <v>2350</v>
      </c>
      <c r="B29" s="506" t="s">
        <v>2351</v>
      </c>
      <c r="C29" s="506" t="s">
        <v>2352</v>
      </c>
      <c r="D29" s="512" t="s">
        <v>2353</v>
      </c>
      <c r="E29" s="513" t="s">
        <v>2375</v>
      </c>
      <c r="F29" s="513" t="s">
        <v>2376</v>
      </c>
    </row>
    <row r="30" spans="1:6">
      <c r="A30" s="514" t="s">
        <v>2374</v>
      </c>
      <c r="B30" s="514">
        <f>F23+F24+F25</f>
        <v>54.821500000000007</v>
      </c>
      <c r="C30" s="514">
        <f>F21+F22</f>
        <v>11.358600000000003</v>
      </c>
      <c r="D30" s="514">
        <f>F26+F27</f>
        <v>2.7793999999999999</v>
      </c>
      <c r="E30" s="515" t="s">
        <v>2374</v>
      </c>
      <c r="F30" s="537">
        <f>B30+C30+D30</f>
        <v>68.959500000000006</v>
      </c>
    </row>
    <row r="31" spans="1:6" ht="14.45" customHeight="1">
      <c r="A31" s="1120" t="s">
        <v>2374</v>
      </c>
      <c r="B31" s="1120"/>
      <c r="C31" s="1120"/>
      <c r="D31" s="1120"/>
      <c r="E31" s="1120"/>
      <c r="F31" s="1120"/>
    </row>
    <row r="32" spans="1:6" ht="15" customHeight="1">
      <c r="A32" s="1121" t="s">
        <v>2377</v>
      </c>
      <c r="B32" s="1121"/>
      <c r="C32" s="1121"/>
      <c r="D32" s="1121"/>
      <c r="E32" s="1121"/>
      <c r="F32" s="1121"/>
    </row>
    <row r="33" spans="1:6" ht="15" customHeight="1">
      <c r="A33" s="1122"/>
      <c r="B33" s="1123"/>
      <c r="C33" s="1123"/>
      <c r="D33" s="1123"/>
      <c r="E33" s="1123"/>
      <c r="F33" s="1124"/>
    </row>
    <row r="34" spans="1:6" ht="15" customHeight="1">
      <c r="A34" s="506" t="s">
        <v>2330</v>
      </c>
      <c r="B34" s="1121" t="s">
        <v>2331</v>
      </c>
      <c r="C34" s="1121"/>
      <c r="D34" s="1121"/>
      <c r="E34" s="1121"/>
      <c r="F34" s="506" t="s">
        <v>2332</v>
      </c>
    </row>
    <row r="35" spans="1:6" ht="45.75" customHeight="1">
      <c r="A35" s="507" t="s">
        <v>2378</v>
      </c>
      <c r="B35" s="1130" t="s">
        <v>1294</v>
      </c>
      <c r="C35" s="1130"/>
      <c r="D35" s="1130"/>
      <c r="E35" s="1130"/>
      <c r="F35" s="500" t="s">
        <v>2334</v>
      </c>
    </row>
    <row r="36" spans="1:6" ht="15" customHeight="1">
      <c r="A36" s="1128" t="s">
        <v>2335</v>
      </c>
      <c r="B36" s="1128"/>
      <c r="C36" s="1128"/>
      <c r="D36" s="1128"/>
      <c r="E36" s="1128"/>
      <c r="F36" s="1128"/>
    </row>
    <row r="37" spans="1:6">
      <c r="A37" s="507" t="s">
        <v>2379</v>
      </c>
      <c r="B37" s="508" t="s">
        <v>2380</v>
      </c>
      <c r="C37" s="509" t="s">
        <v>96</v>
      </c>
      <c r="D37" s="510">
        <v>50</v>
      </c>
      <c r="E37" s="511">
        <v>0.19</v>
      </c>
      <c r="F37" s="511">
        <f t="shared" ref="F37:F51" si="1">D37*E37</f>
        <v>9.5</v>
      </c>
    </row>
    <row r="38" spans="1:6">
      <c r="A38" s="507" t="s">
        <v>2379</v>
      </c>
      <c r="B38" s="508" t="s">
        <v>2381</v>
      </c>
      <c r="C38" s="509" t="s">
        <v>2334</v>
      </c>
      <c r="D38" s="510">
        <v>1</v>
      </c>
      <c r="E38" s="511">
        <v>63.61</v>
      </c>
      <c r="F38" s="511">
        <f t="shared" si="1"/>
        <v>63.61</v>
      </c>
    </row>
    <row r="39" spans="1:6" ht="28.5">
      <c r="A39" s="507" t="s">
        <v>2379</v>
      </c>
      <c r="B39" s="508" t="s">
        <v>2382</v>
      </c>
      <c r="C39" s="509" t="s">
        <v>2383</v>
      </c>
      <c r="D39" s="510">
        <v>1</v>
      </c>
      <c r="E39" s="511">
        <v>17.11</v>
      </c>
      <c r="F39" s="511">
        <f t="shared" si="1"/>
        <v>17.11</v>
      </c>
    </row>
    <row r="40" spans="1:6" ht="28.5">
      <c r="A40" s="507" t="s">
        <v>2379</v>
      </c>
      <c r="B40" s="508" t="s">
        <v>2384</v>
      </c>
      <c r="C40" s="509" t="s">
        <v>96</v>
      </c>
      <c r="D40" s="510">
        <v>2</v>
      </c>
      <c r="E40" s="511">
        <v>71.150000000000006</v>
      </c>
      <c r="F40" s="511">
        <f t="shared" si="1"/>
        <v>142.30000000000001</v>
      </c>
    </row>
    <row r="41" spans="1:6">
      <c r="A41" s="507" t="s">
        <v>2379</v>
      </c>
      <c r="B41" s="508" t="s">
        <v>2385</v>
      </c>
      <c r="C41" s="509" t="s">
        <v>96</v>
      </c>
      <c r="D41" s="510">
        <v>4</v>
      </c>
      <c r="E41" s="511">
        <v>6.66</v>
      </c>
      <c r="F41" s="511">
        <f t="shared" si="1"/>
        <v>26.64</v>
      </c>
    </row>
    <row r="42" spans="1:6">
      <c r="A42" s="507" t="s">
        <v>2379</v>
      </c>
      <c r="B42" s="508" t="s">
        <v>2386</v>
      </c>
      <c r="C42" s="509" t="s">
        <v>2387</v>
      </c>
      <c r="D42" s="510">
        <v>20</v>
      </c>
      <c r="E42" s="511">
        <v>2.0699999999999998</v>
      </c>
      <c r="F42" s="511">
        <f t="shared" si="1"/>
        <v>41.4</v>
      </c>
    </row>
    <row r="43" spans="1:6">
      <c r="A43" s="507" t="s">
        <v>2379</v>
      </c>
      <c r="B43" s="508" t="s">
        <v>2388</v>
      </c>
      <c r="C43" s="509" t="s">
        <v>2387</v>
      </c>
      <c r="D43" s="510">
        <v>20</v>
      </c>
      <c r="E43" s="511">
        <v>5.94</v>
      </c>
      <c r="F43" s="511">
        <f t="shared" si="1"/>
        <v>118.80000000000001</v>
      </c>
    </row>
    <row r="44" spans="1:6" ht="28.5">
      <c r="A44" s="507" t="s">
        <v>2379</v>
      </c>
      <c r="B44" s="508" t="s">
        <v>2389</v>
      </c>
      <c r="C44" s="509" t="s">
        <v>2390</v>
      </c>
      <c r="D44" s="510">
        <v>1</v>
      </c>
      <c r="E44" s="511">
        <v>36.729999999999997</v>
      </c>
      <c r="F44" s="511">
        <f t="shared" si="1"/>
        <v>36.729999999999997</v>
      </c>
    </row>
    <row r="45" spans="1:6">
      <c r="A45" s="507" t="s">
        <v>2379</v>
      </c>
      <c r="B45" s="508" t="s">
        <v>2391</v>
      </c>
      <c r="C45" s="509" t="s">
        <v>2392</v>
      </c>
      <c r="D45" s="510">
        <v>6</v>
      </c>
      <c r="E45" s="511">
        <v>693.57</v>
      </c>
      <c r="F45" s="511">
        <f t="shared" si="1"/>
        <v>4161.42</v>
      </c>
    </row>
    <row r="46" spans="1:6">
      <c r="A46" s="507" t="s">
        <v>2379</v>
      </c>
      <c r="B46" s="508" t="s">
        <v>2393</v>
      </c>
      <c r="C46" s="509" t="s">
        <v>96</v>
      </c>
      <c r="D46" s="510">
        <v>50</v>
      </c>
      <c r="E46" s="511">
        <v>0.22</v>
      </c>
      <c r="F46" s="511">
        <f t="shared" si="1"/>
        <v>11</v>
      </c>
    </row>
    <row r="47" spans="1:6">
      <c r="A47" s="507" t="s">
        <v>2379</v>
      </c>
      <c r="B47" s="508" t="s">
        <v>2394</v>
      </c>
      <c r="C47" s="509" t="s">
        <v>96</v>
      </c>
      <c r="D47" s="510">
        <v>50</v>
      </c>
      <c r="E47" s="511">
        <v>0.51</v>
      </c>
      <c r="F47" s="511">
        <f t="shared" si="1"/>
        <v>25.5</v>
      </c>
    </row>
    <row r="48" spans="1:6">
      <c r="A48" s="507" t="s">
        <v>2379</v>
      </c>
      <c r="B48" s="508" t="s">
        <v>2395</v>
      </c>
      <c r="C48" s="509" t="s">
        <v>96</v>
      </c>
      <c r="D48" s="510">
        <v>4</v>
      </c>
      <c r="E48" s="511">
        <v>22.25</v>
      </c>
      <c r="F48" s="511">
        <f t="shared" si="1"/>
        <v>89</v>
      </c>
    </row>
    <row r="49" spans="1:8">
      <c r="A49" s="507" t="s">
        <v>2379</v>
      </c>
      <c r="B49" s="508" t="s">
        <v>2396</v>
      </c>
      <c r="C49" s="509" t="s">
        <v>96</v>
      </c>
      <c r="D49" s="510">
        <v>1</v>
      </c>
      <c r="E49" s="511">
        <v>96.93</v>
      </c>
      <c r="F49" s="511">
        <f t="shared" si="1"/>
        <v>96.93</v>
      </c>
    </row>
    <row r="50" spans="1:8" ht="28.5">
      <c r="A50" s="507" t="s">
        <v>2397</v>
      </c>
      <c r="B50" s="508" t="s">
        <v>2398</v>
      </c>
      <c r="C50" s="509" t="s">
        <v>40</v>
      </c>
      <c r="D50" s="510">
        <v>80</v>
      </c>
      <c r="E50" s="511">
        <v>22.35</v>
      </c>
      <c r="F50" s="511">
        <f t="shared" si="1"/>
        <v>1788</v>
      </c>
    </row>
    <row r="51" spans="1:8" ht="28.5">
      <c r="A51" s="507" t="s">
        <v>2342</v>
      </c>
      <c r="B51" s="508" t="s">
        <v>2343</v>
      </c>
      <c r="C51" s="509" t="s">
        <v>40</v>
      </c>
      <c r="D51" s="510">
        <v>80</v>
      </c>
      <c r="E51" s="511">
        <v>18.34</v>
      </c>
      <c r="F51" s="511">
        <f t="shared" si="1"/>
        <v>1467.2</v>
      </c>
    </row>
    <row r="52" spans="1:8" ht="30">
      <c r="A52" s="506" t="s">
        <v>2350</v>
      </c>
      <c r="B52" s="506" t="s">
        <v>2351</v>
      </c>
      <c r="C52" s="506" t="s">
        <v>2352</v>
      </c>
      <c r="D52" s="512" t="s">
        <v>2353</v>
      </c>
      <c r="E52" s="513" t="s">
        <v>2375</v>
      </c>
      <c r="F52" s="513" t="s">
        <v>2376</v>
      </c>
    </row>
    <row r="53" spans="1:8">
      <c r="A53" s="642" t="s">
        <v>2374</v>
      </c>
      <c r="B53" s="514">
        <f>SUM(F37:F49)</f>
        <v>4839.9400000000005</v>
      </c>
      <c r="C53" s="514">
        <f>SUM(F50:F51)</f>
        <v>3255.2</v>
      </c>
      <c r="D53" s="514"/>
      <c r="E53" s="643" t="s">
        <v>2374</v>
      </c>
      <c r="F53" s="644">
        <f>B53+C53+D53</f>
        <v>8095.14</v>
      </c>
    </row>
    <row r="54" spans="1:8" ht="15" customHeight="1">
      <c r="A54" s="1120" t="s">
        <v>2374</v>
      </c>
      <c r="B54" s="1120"/>
      <c r="C54" s="1120"/>
      <c r="D54" s="1120"/>
      <c r="E54" s="1120"/>
      <c r="F54" s="1120"/>
    </row>
    <row r="55" spans="1:8">
      <c r="A55" s="1121" t="s">
        <v>2399</v>
      </c>
      <c r="B55" s="1121"/>
      <c r="C55" s="1121"/>
      <c r="D55" s="1121"/>
      <c r="E55" s="1121"/>
      <c r="F55" s="1121"/>
    </row>
    <row r="56" spans="1:8" ht="15" customHeight="1">
      <c r="A56" s="1122" t="s">
        <v>2400</v>
      </c>
      <c r="B56" s="1123"/>
      <c r="C56" s="1123"/>
      <c r="D56" s="1123"/>
      <c r="E56" s="1123"/>
      <c r="F56" s="1124"/>
    </row>
    <row r="57" spans="1:8">
      <c r="A57" s="506" t="s">
        <v>2330</v>
      </c>
      <c r="B57" s="1121" t="s">
        <v>2331</v>
      </c>
      <c r="C57" s="1121"/>
      <c r="D57" s="1121"/>
      <c r="E57" s="1121"/>
      <c r="F57" s="506" t="s">
        <v>2332</v>
      </c>
    </row>
    <row r="58" spans="1:8" ht="27" customHeight="1">
      <c r="A58" s="507" t="s">
        <v>2401</v>
      </c>
      <c r="B58" s="1130" t="s">
        <v>2402</v>
      </c>
      <c r="C58" s="1130"/>
      <c r="D58" s="1130"/>
      <c r="E58" s="1130"/>
      <c r="F58" s="500" t="s">
        <v>2334</v>
      </c>
      <c r="H58" s="536"/>
    </row>
    <row r="59" spans="1:8" ht="15" customHeight="1">
      <c r="A59" s="1128" t="s">
        <v>2335</v>
      </c>
      <c r="B59" s="1128"/>
      <c r="C59" s="1128"/>
      <c r="D59" s="1128"/>
      <c r="E59" s="1128"/>
      <c r="F59" s="1128"/>
    </row>
    <row r="60" spans="1:8" ht="28.5">
      <c r="A60" s="507" t="s">
        <v>2403</v>
      </c>
      <c r="B60" s="508" t="s">
        <v>2404</v>
      </c>
      <c r="C60" s="509" t="s">
        <v>2334</v>
      </c>
      <c r="D60" s="510">
        <v>1</v>
      </c>
      <c r="E60" s="511">
        <v>195.95</v>
      </c>
      <c r="F60" s="511">
        <f t="shared" ref="F60:F68" si="2">D60*E60</f>
        <v>195.95</v>
      </c>
    </row>
    <row r="61" spans="1:8" ht="57">
      <c r="A61" s="507" t="s">
        <v>2405</v>
      </c>
      <c r="B61" s="508" t="s">
        <v>2406</v>
      </c>
      <c r="C61" s="509" t="s">
        <v>2334</v>
      </c>
      <c r="D61" s="510">
        <v>1</v>
      </c>
      <c r="E61" s="511">
        <v>109.89</v>
      </c>
      <c r="F61" s="511">
        <f t="shared" si="2"/>
        <v>109.89</v>
      </c>
    </row>
    <row r="62" spans="1:8">
      <c r="A62" s="507" t="s">
        <v>2407</v>
      </c>
      <c r="B62" s="508" t="s">
        <v>2408</v>
      </c>
      <c r="C62" s="509" t="s">
        <v>40</v>
      </c>
      <c r="D62" s="510">
        <v>6.15</v>
      </c>
      <c r="E62" s="511">
        <v>17.440000000000001</v>
      </c>
      <c r="F62" s="511">
        <f t="shared" si="2"/>
        <v>107.25600000000001</v>
      </c>
    </row>
    <row r="63" spans="1:8" ht="28.5">
      <c r="A63" s="507" t="s">
        <v>2409</v>
      </c>
      <c r="B63" s="508" t="s">
        <v>2410</v>
      </c>
      <c r="C63" s="509" t="s">
        <v>170</v>
      </c>
      <c r="D63" s="510">
        <v>0.67</v>
      </c>
      <c r="E63" s="511">
        <v>62.3</v>
      </c>
      <c r="F63" s="511">
        <f t="shared" si="2"/>
        <v>41.741</v>
      </c>
    </row>
    <row r="64" spans="1:8" ht="28.5">
      <c r="A64" s="507" t="s">
        <v>2411</v>
      </c>
      <c r="B64" s="508" t="s">
        <v>2412</v>
      </c>
      <c r="C64" s="509" t="s">
        <v>61</v>
      </c>
      <c r="D64" s="510">
        <v>3.36</v>
      </c>
      <c r="E64" s="511">
        <v>69.19</v>
      </c>
      <c r="F64" s="511">
        <f t="shared" si="2"/>
        <v>232.47839999999999</v>
      </c>
    </row>
    <row r="65" spans="1:8" ht="28.5">
      <c r="A65" s="507" t="s">
        <v>2413</v>
      </c>
      <c r="B65" s="508" t="s">
        <v>2414</v>
      </c>
      <c r="C65" s="509" t="s">
        <v>170</v>
      </c>
      <c r="D65" s="510">
        <v>0.02</v>
      </c>
      <c r="E65" s="511">
        <v>23.4</v>
      </c>
      <c r="F65" s="511">
        <f t="shared" si="2"/>
        <v>0.46799999999999997</v>
      </c>
    </row>
    <row r="66" spans="1:8" ht="57">
      <c r="A66" s="507" t="s">
        <v>2415</v>
      </c>
      <c r="B66" s="508" t="s">
        <v>2416</v>
      </c>
      <c r="C66" s="509" t="s">
        <v>2334</v>
      </c>
      <c r="D66" s="510">
        <v>1</v>
      </c>
      <c r="E66" s="511">
        <v>352.56</v>
      </c>
      <c r="F66" s="511">
        <f t="shared" si="2"/>
        <v>352.56</v>
      </c>
    </row>
    <row r="67" spans="1:8" ht="28.5">
      <c r="A67" s="507" t="s">
        <v>2417</v>
      </c>
      <c r="B67" s="508" t="s">
        <v>2418</v>
      </c>
      <c r="C67" s="509" t="s">
        <v>2334</v>
      </c>
      <c r="D67" s="510">
        <v>3</v>
      </c>
      <c r="E67" s="511">
        <v>33.19</v>
      </c>
      <c r="F67" s="511">
        <f t="shared" si="2"/>
        <v>99.57</v>
      </c>
    </row>
    <row r="68" spans="1:8">
      <c r="A68" s="507" t="s">
        <v>2419</v>
      </c>
      <c r="B68" s="508" t="s">
        <v>2420</v>
      </c>
      <c r="C68" s="509" t="s">
        <v>40</v>
      </c>
      <c r="D68" s="510">
        <v>6.15</v>
      </c>
      <c r="E68" s="511">
        <v>3.69</v>
      </c>
      <c r="F68" s="511">
        <f t="shared" si="2"/>
        <v>22.6935</v>
      </c>
    </row>
    <row r="69" spans="1:8">
      <c r="A69" s="1131" t="s">
        <v>2374</v>
      </c>
      <c r="B69" s="1132"/>
      <c r="C69" s="1132"/>
      <c r="D69" s="1132"/>
      <c r="E69" s="1132"/>
      <c r="F69" s="1133"/>
    </row>
    <row r="70" spans="1:8" ht="30">
      <c r="A70" s="506" t="s">
        <v>2350</v>
      </c>
      <c r="B70" s="506" t="s">
        <v>2351</v>
      </c>
      <c r="C70" s="506" t="s">
        <v>2352</v>
      </c>
      <c r="D70" s="512" t="s">
        <v>2353</v>
      </c>
      <c r="E70" s="513" t="s">
        <v>2375</v>
      </c>
      <c r="F70" s="513" t="s">
        <v>2376</v>
      </c>
    </row>
    <row r="71" spans="1:8">
      <c r="A71" s="514" t="s">
        <v>2374</v>
      </c>
      <c r="B71" s="514">
        <f>F60+F61+F63+F64+F65+F66+F67</f>
        <v>1032.6573999999998</v>
      </c>
      <c r="C71" s="514">
        <f>F62</f>
        <v>107.25600000000001</v>
      </c>
      <c r="D71" s="514">
        <f>F68</f>
        <v>22.6935</v>
      </c>
      <c r="E71" s="515" t="s">
        <v>2374</v>
      </c>
      <c r="F71" s="537">
        <f>B71+C71+D71</f>
        <v>1162.6069</v>
      </c>
    </row>
    <row r="72" spans="1:8">
      <c r="A72" s="1120" t="s">
        <v>2374</v>
      </c>
      <c r="B72" s="1120"/>
      <c r="C72" s="1120"/>
      <c r="D72" s="1120"/>
      <c r="E72" s="1120"/>
      <c r="F72" s="1120"/>
    </row>
    <row r="73" spans="1:8" ht="15" customHeight="1">
      <c r="A73" s="1121" t="s">
        <v>2421</v>
      </c>
      <c r="B73" s="1121"/>
      <c r="C73" s="1121"/>
      <c r="D73" s="1121"/>
      <c r="E73" s="1121"/>
      <c r="F73" s="1121"/>
    </row>
    <row r="74" spans="1:8">
      <c r="A74" s="1122" t="s">
        <v>2400</v>
      </c>
      <c r="B74" s="1123"/>
      <c r="C74" s="1123"/>
      <c r="D74" s="1123"/>
      <c r="E74" s="1123"/>
      <c r="F74" s="1124"/>
    </row>
    <row r="75" spans="1:8">
      <c r="A75" s="506" t="s">
        <v>2330</v>
      </c>
      <c r="B75" s="1121" t="s">
        <v>2331</v>
      </c>
      <c r="C75" s="1121"/>
      <c r="D75" s="1121"/>
      <c r="E75" s="1121"/>
      <c r="F75" s="506" t="s">
        <v>2332</v>
      </c>
    </row>
    <row r="76" spans="1:8" ht="45" customHeight="1">
      <c r="A76" s="507" t="s">
        <v>2422</v>
      </c>
      <c r="B76" s="1130" t="s">
        <v>2423</v>
      </c>
      <c r="C76" s="1130"/>
      <c r="D76" s="1130"/>
      <c r="E76" s="1130"/>
      <c r="F76" s="500" t="s">
        <v>2334</v>
      </c>
      <c r="H76" s="291"/>
    </row>
    <row r="77" spans="1:8">
      <c r="A77" s="1128" t="s">
        <v>2335</v>
      </c>
      <c r="B77" s="1128"/>
      <c r="C77" s="1128"/>
      <c r="D77" s="1128"/>
      <c r="E77" s="1128"/>
      <c r="F77" s="1128"/>
    </row>
    <row r="78" spans="1:8" ht="28.5">
      <c r="A78" s="507" t="s">
        <v>2424</v>
      </c>
      <c r="B78" s="508" t="s">
        <v>2425</v>
      </c>
      <c r="C78" s="509" t="s">
        <v>2334</v>
      </c>
      <c r="D78" s="510">
        <v>1</v>
      </c>
      <c r="E78" s="511">
        <v>299.89999999999998</v>
      </c>
      <c r="F78" s="511">
        <f t="shared" ref="F78:F86" si="3">D78*E78</f>
        <v>299.89999999999998</v>
      </c>
    </row>
    <row r="79" spans="1:8" ht="57">
      <c r="A79" s="507" t="s">
        <v>2405</v>
      </c>
      <c r="B79" s="508" t="s">
        <v>2406</v>
      </c>
      <c r="C79" s="509" t="s">
        <v>2334</v>
      </c>
      <c r="D79" s="510">
        <v>1</v>
      </c>
      <c r="E79" s="511">
        <v>109.89</v>
      </c>
      <c r="F79" s="511">
        <f t="shared" si="3"/>
        <v>109.89</v>
      </c>
    </row>
    <row r="80" spans="1:8">
      <c r="A80" s="507" t="s">
        <v>2407</v>
      </c>
      <c r="B80" s="508" t="s">
        <v>2408</v>
      </c>
      <c r="C80" s="509" t="s">
        <v>40</v>
      </c>
      <c r="D80" s="510">
        <v>6.15</v>
      </c>
      <c r="E80" s="511">
        <v>17.440000000000001</v>
      </c>
      <c r="F80" s="511">
        <f t="shared" si="3"/>
        <v>107.25600000000001</v>
      </c>
    </row>
    <row r="81" spans="1:6" ht="28.5">
      <c r="A81" s="507" t="s">
        <v>2409</v>
      </c>
      <c r="B81" s="508" t="s">
        <v>2410</v>
      </c>
      <c r="C81" s="509" t="s">
        <v>170</v>
      </c>
      <c r="D81" s="510">
        <v>0.67</v>
      </c>
      <c r="E81" s="511">
        <v>62.3</v>
      </c>
      <c r="F81" s="511">
        <f t="shared" si="3"/>
        <v>41.741</v>
      </c>
    </row>
    <row r="82" spans="1:6" ht="28.5">
      <c r="A82" s="507" t="s">
        <v>2411</v>
      </c>
      <c r="B82" s="508" t="s">
        <v>2412</v>
      </c>
      <c r="C82" s="509" t="s">
        <v>61</v>
      </c>
      <c r="D82" s="510">
        <v>3.36</v>
      </c>
      <c r="E82" s="511">
        <v>69.19</v>
      </c>
      <c r="F82" s="511">
        <f t="shared" si="3"/>
        <v>232.47839999999999</v>
      </c>
    </row>
    <row r="83" spans="1:6" ht="28.5">
      <c r="A83" s="507" t="s">
        <v>2413</v>
      </c>
      <c r="B83" s="508" t="s">
        <v>2414</v>
      </c>
      <c r="C83" s="509" t="s">
        <v>170</v>
      </c>
      <c r="D83" s="510">
        <v>0.02</v>
      </c>
      <c r="E83" s="511">
        <v>23.4</v>
      </c>
      <c r="F83" s="511">
        <f t="shared" si="3"/>
        <v>0.46799999999999997</v>
      </c>
    </row>
    <row r="84" spans="1:6" ht="57">
      <c r="A84" s="507" t="s">
        <v>2415</v>
      </c>
      <c r="B84" s="508" t="s">
        <v>2416</v>
      </c>
      <c r="C84" s="509" t="s">
        <v>2334</v>
      </c>
      <c r="D84" s="510">
        <v>1</v>
      </c>
      <c r="E84" s="511">
        <v>352.56</v>
      </c>
      <c r="F84" s="511">
        <f t="shared" si="3"/>
        <v>352.56</v>
      </c>
    </row>
    <row r="85" spans="1:6" ht="28.5">
      <c r="A85" s="507" t="s">
        <v>2417</v>
      </c>
      <c r="B85" s="508" t="s">
        <v>2418</v>
      </c>
      <c r="C85" s="509" t="s">
        <v>2334</v>
      </c>
      <c r="D85" s="510">
        <v>3</v>
      </c>
      <c r="E85" s="511">
        <v>33.19</v>
      </c>
      <c r="F85" s="511">
        <f t="shared" si="3"/>
        <v>99.57</v>
      </c>
    </row>
    <row r="86" spans="1:6">
      <c r="A86" s="507" t="s">
        <v>2419</v>
      </c>
      <c r="B86" s="508" t="s">
        <v>2420</v>
      </c>
      <c r="C86" s="509" t="s">
        <v>40</v>
      </c>
      <c r="D86" s="510">
        <v>6.15</v>
      </c>
      <c r="E86" s="511">
        <v>3.69</v>
      </c>
      <c r="F86" s="511">
        <f t="shared" si="3"/>
        <v>22.6935</v>
      </c>
    </row>
    <row r="87" spans="1:6" ht="28.5">
      <c r="A87" s="507" t="s">
        <v>2426</v>
      </c>
      <c r="B87" s="508" t="s">
        <v>2427</v>
      </c>
      <c r="C87" s="509" t="s">
        <v>2334</v>
      </c>
      <c r="D87" s="510">
        <v>2</v>
      </c>
      <c r="E87" s="511">
        <v>334.84</v>
      </c>
      <c r="F87" s="511">
        <f t="shared" ref="F87:F88" si="4">D87*E87</f>
        <v>669.68</v>
      </c>
    </row>
    <row r="88" spans="1:6">
      <c r="A88" s="507" t="s">
        <v>2428</v>
      </c>
      <c r="B88" s="508" t="s">
        <v>2429</v>
      </c>
      <c r="C88" s="509" t="s">
        <v>61</v>
      </c>
      <c r="D88" s="510">
        <f>2*(0.8*0.4)</f>
        <v>0.64000000000000012</v>
      </c>
      <c r="E88" s="511">
        <v>142.13999999999999</v>
      </c>
      <c r="F88" s="511">
        <f t="shared" si="4"/>
        <v>90.969600000000014</v>
      </c>
    </row>
    <row r="89" spans="1:6">
      <c r="A89" s="1131" t="s">
        <v>2374</v>
      </c>
      <c r="B89" s="1132"/>
      <c r="C89" s="1132"/>
      <c r="D89" s="1132"/>
      <c r="E89" s="1132"/>
      <c r="F89" s="1133"/>
    </row>
    <row r="90" spans="1:6" ht="30">
      <c r="A90" s="506" t="s">
        <v>2350</v>
      </c>
      <c r="B90" s="506" t="s">
        <v>2351</v>
      </c>
      <c r="C90" s="506" t="s">
        <v>2352</v>
      </c>
      <c r="D90" s="512" t="s">
        <v>2353</v>
      </c>
      <c r="E90" s="513" t="s">
        <v>2375</v>
      </c>
      <c r="F90" s="513" t="s">
        <v>2376</v>
      </c>
    </row>
    <row r="91" spans="1:6">
      <c r="A91" s="514" t="s">
        <v>2374</v>
      </c>
      <c r="B91" s="514">
        <f>F78+F79+F81+F82+F83+F84+F85+F87+F88</f>
        <v>1897.2569999999996</v>
      </c>
      <c r="C91" s="514">
        <f>F80</f>
        <v>107.25600000000001</v>
      </c>
      <c r="D91" s="514">
        <f>F86</f>
        <v>22.6935</v>
      </c>
      <c r="E91" s="515" t="s">
        <v>2374</v>
      </c>
      <c r="F91" s="537">
        <f>B91+C91+D91</f>
        <v>2027.2064999999998</v>
      </c>
    </row>
    <row r="92" spans="1:6">
      <c r="A92" s="1120" t="s">
        <v>2374</v>
      </c>
      <c r="B92" s="1120"/>
      <c r="C92" s="1120"/>
      <c r="D92" s="1120"/>
      <c r="E92" s="1120"/>
      <c r="F92" s="1120"/>
    </row>
    <row r="93" spans="1:6" ht="15" customHeight="1">
      <c r="A93" s="1121" t="s">
        <v>2430</v>
      </c>
      <c r="B93" s="1121"/>
      <c r="C93" s="1121"/>
      <c r="D93" s="1121"/>
      <c r="E93" s="1121"/>
      <c r="F93" s="1121"/>
    </row>
    <row r="94" spans="1:6" ht="15" customHeight="1">
      <c r="A94" s="506" t="s">
        <v>2330</v>
      </c>
      <c r="B94" s="1121" t="s">
        <v>2331</v>
      </c>
      <c r="C94" s="1121"/>
      <c r="D94" s="1121"/>
      <c r="E94" s="1121"/>
      <c r="F94" s="506" t="s">
        <v>2332</v>
      </c>
    </row>
    <row r="95" spans="1:6" ht="15" customHeight="1">
      <c r="A95" s="507" t="s">
        <v>2431</v>
      </c>
      <c r="B95" s="1130" t="s">
        <v>2432</v>
      </c>
      <c r="C95" s="1130"/>
      <c r="D95" s="1130"/>
      <c r="E95" s="1130"/>
      <c r="F95" s="516" t="s">
        <v>61</v>
      </c>
    </row>
    <row r="96" spans="1:6" ht="15" customHeight="1">
      <c r="A96" s="1128" t="s">
        <v>2335</v>
      </c>
      <c r="B96" s="1128"/>
      <c r="C96" s="1128"/>
      <c r="D96" s="1128"/>
      <c r="E96" s="1128"/>
      <c r="F96" s="1128"/>
    </row>
    <row r="97" spans="1:8">
      <c r="A97" s="507" t="str">
        <f>'COTAÇÃO CIVIL'!A16</f>
        <v>MERC02/03</v>
      </c>
      <c r="B97" s="508" t="s">
        <v>2433</v>
      </c>
      <c r="C97" s="509" t="s">
        <v>61</v>
      </c>
      <c r="D97" s="510">
        <v>1</v>
      </c>
      <c r="E97" s="660">
        <v>147.22</v>
      </c>
      <c r="F97" s="511">
        <f t="shared" ref="F97:F102" si="5">D97*E97</f>
        <v>147.22</v>
      </c>
    </row>
    <row r="98" spans="1:8" ht="57">
      <c r="A98" s="507" t="s">
        <v>2434</v>
      </c>
      <c r="B98" s="508" t="s">
        <v>2435</v>
      </c>
      <c r="C98" s="509" t="s">
        <v>246</v>
      </c>
      <c r="D98" s="510">
        <v>1.24</v>
      </c>
      <c r="E98" s="511">
        <v>6.52</v>
      </c>
      <c r="F98" s="511">
        <f t="shared" si="5"/>
        <v>8.0847999999999995</v>
      </c>
    </row>
    <row r="99" spans="1:8" ht="42.75">
      <c r="A99" s="507" t="s">
        <v>2436</v>
      </c>
      <c r="B99" s="508" t="s">
        <v>2437</v>
      </c>
      <c r="C99" s="509" t="s">
        <v>246</v>
      </c>
      <c r="D99" s="510">
        <v>2.5</v>
      </c>
      <c r="E99" s="511">
        <v>6.33</v>
      </c>
      <c r="F99" s="511">
        <f t="shared" si="5"/>
        <v>15.824999999999999</v>
      </c>
    </row>
    <row r="100" spans="1:8" ht="28.5">
      <c r="A100" s="507" t="s">
        <v>2438</v>
      </c>
      <c r="B100" s="508" t="s">
        <v>2439</v>
      </c>
      <c r="C100" s="509" t="s">
        <v>170</v>
      </c>
      <c r="D100" s="510">
        <v>0.5</v>
      </c>
      <c r="E100" s="511">
        <v>37.729999999999997</v>
      </c>
      <c r="F100" s="511">
        <f t="shared" si="5"/>
        <v>18.864999999999998</v>
      </c>
    </row>
    <row r="101" spans="1:8" ht="28.5">
      <c r="A101" s="507" t="s">
        <v>2440</v>
      </c>
      <c r="B101" s="508" t="s">
        <v>2441</v>
      </c>
      <c r="C101" s="509" t="s">
        <v>40</v>
      </c>
      <c r="D101" s="510">
        <v>1</v>
      </c>
      <c r="E101" s="511">
        <v>17.52</v>
      </c>
      <c r="F101" s="511">
        <f t="shared" si="5"/>
        <v>17.52</v>
      </c>
    </row>
    <row r="102" spans="1:8" ht="28.5">
      <c r="A102" s="507" t="s">
        <v>2442</v>
      </c>
      <c r="B102" s="508" t="s">
        <v>2443</v>
      </c>
      <c r="C102" s="509" t="s">
        <v>2444</v>
      </c>
      <c r="D102" s="510">
        <v>8</v>
      </c>
      <c r="E102" s="511">
        <v>0.96</v>
      </c>
      <c r="F102" s="511">
        <f t="shared" si="5"/>
        <v>7.68</v>
      </c>
    </row>
    <row r="103" spans="1:8" ht="15" customHeight="1">
      <c r="A103" s="1131" t="s">
        <v>2374</v>
      </c>
      <c r="B103" s="1132"/>
      <c r="C103" s="1132"/>
      <c r="D103" s="1132"/>
      <c r="E103" s="1132"/>
      <c r="F103" s="1133"/>
    </row>
    <row r="104" spans="1:8" ht="30">
      <c r="A104" s="506" t="s">
        <v>2350</v>
      </c>
      <c r="B104" s="506" t="s">
        <v>2351</v>
      </c>
      <c r="C104" s="506" t="s">
        <v>2352</v>
      </c>
      <c r="D104" s="512" t="s">
        <v>2353</v>
      </c>
      <c r="E104" s="513" t="s">
        <v>2375</v>
      </c>
      <c r="F104" s="513" t="s">
        <v>2376</v>
      </c>
    </row>
    <row r="105" spans="1:8">
      <c r="A105" s="514" t="s">
        <v>2374</v>
      </c>
      <c r="B105" s="514">
        <f>F97+F98+F99+F100+F102</f>
        <v>197.6748</v>
      </c>
      <c r="C105" s="514">
        <f>F101</f>
        <v>17.52</v>
      </c>
      <c r="D105" s="514"/>
      <c r="E105" s="515" t="s">
        <v>2374</v>
      </c>
      <c r="F105" s="537">
        <f>B105+C105+D105</f>
        <v>215.19480000000001</v>
      </c>
    </row>
    <row r="106" spans="1:8">
      <c r="A106" s="1120" t="s">
        <v>2374</v>
      </c>
      <c r="B106" s="1120"/>
      <c r="C106" s="1120"/>
      <c r="D106" s="1120"/>
      <c r="E106" s="1120"/>
      <c r="F106" s="1120"/>
    </row>
    <row r="107" spans="1:8">
      <c r="A107" s="1121" t="s">
        <v>2445</v>
      </c>
      <c r="B107" s="1121"/>
      <c r="C107" s="1121"/>
      <c r="D107" s="1121"/>
      <c r="E107" s="1121"/>
      <c r="F107" s="1121"/>
    </row>
    <row r="108" spans="1:8">
      <c r="A108" s="1122" t="s">
        <v>2446</v>
      </c>
      <c r="B108" s="1123"/>
      <c r="C108" s="1123"/>
      <c r="D108" s="1123"/>
      <c r="E108" s="1123"/>
      <c r="F108" s="1124"/>
    </row>
    <row r="109" spans="1:8">
      <c r="A109" s="506" t="s">
        <v>2330</v>
      </c>
      <c r="B109" s="1121" t="s">
        <v>2331</v>
      </c>
      <c r="C109" s="1121"/>
      <c r="D109" s="1121"/>
      <c r="E109" s="1121"/>
      <c r="F109" s="506" t="s">
        <v>2332</v>
      </c>
    </row>
    <row r="110" spans="1:8" ht="45" customHeight="1">
      <c r="A110" s="507" t="s">
        <v>2447</v>
      </c>
      <c r="B110" s="1130" t="s">
        <v>2448</v>
      </c>
      <c r="C110" s="1130"/>
      <c r="D110" s="1130"/>
      <c r="E110" s="1130"/>
      <c r="F110" s="516" t="s">
        <v>61</v>
      </c>
    </row>
    <row r="111" spans="1:8">
      <c r="A111" s="1128" t="s">
        <v>2335</v>
      </c>
      <c r="B111" s="1128"/>
      <c r="C111" s="1128"/>
      <c r="D111" s="1128"/>
      <c r="E111" s="1128"/>
      <c r="F111" s="1128"/>
    </row>
    <row r="112" spans="1:8" ht="28.5">
      <c r="A112" s="507" t="s">
        <v>2449</v>
      </c>
      <c r="B112" s="508" t="s">
        <v>2450</v>
      </c>
      <c r="C112" s="509" t="s">
        <v>170</v>
      </c>
      <c r="D112" s="510">
        <v>1.52</v>
      </c>
      <c r="E112" s="660">
        <v>40.98</v>
      </c>
      <c r="F112" s="511">
        <f t="shared" ref="F112:F125" si="6">D112*E112</f>
        <v>62.289599999999993</v>
      </c>
      <c r="G112" s="661"/>
      <c r="H112" s="661"/>
    </row>
    <row r="113" spans="1:6" ht="28.5">
      <c r="A113" s="507" t="s">
        <v>2451</v>
      </c>
      <c r="B113" s="508" t="s">
        <v>2452</v>
      </c>
      <c r="C113" s="509" t="s">
        <v>61</v>
      </c>
      <c r="D113" s="510">
        <v>2.13</v>
      </c>
      <c r="E113" s="511">
        <v>385.32</v>
      </c>
      <c r="F113" s="511">
        <f t="shared" si="6"/>
        <v>820.73159999999996</v>
      </c>
    </row>
    <row r="114" spans="1:6" ht="28.5">
      <c r="A114" s="507" t="s">
        <v>2453</v>
      </c>
      <c r="B114" s="508" t="s">
        <v>2454</v>
      </c>
      <c r="C114" s="509" t="s">
        <v>61</v>
      </c>
      <c r="D114" s="510">
        <v>0.79</v>
      </c>
      <c r="E114" s="511">
        <v>165.6</v>
      </c>
      <c r="F114" s="511">
        <f t="shared" si="6"/>
        <v>130.82400000000001</v>
      </c>
    </row>
    <row r="115" spans="1:6" ht="28.5">
      <c r="A115" s="507" t="s">
        <v>2455</v>
      </c>
      <c r="B115" s="508" t="s">
        <v>2456</v>
      </c>
      <c r="C115" s="509" t="s">
        <v>170</v>
      </c>
      <c r="D115" s="510">
        <v>12.57</v>
      </c>
      <c r="E115" s="511">
        <v>9.1999999999999993</v>
      </c>
      <c r="F115" s="511">
        <f t="shared" si="6"/>
        <v>115.64399999999999</v>
      </c>
    </row>
    <row r="116" spans="1:6">
      <c r="A116" s="507" t="s">
        <v>2457</v>
      </c>
      <c r="B116" s="508" t="s">
        <v>2458</v>
      </c>
      <c r="C116" s="509" t="s">
        <v>170</v>
      </c>
      <c r="D116" s="510">
        <v>1.5</v>
      </c>
      <c r="E116" s="511">
        <v>9.1999999999999993</v>
      </c>
      <c r="F116" s="511">
        <f t="shared" si="6"/>
        <v>13.799999999999999</v>
      </c>
    </row>
    <row r="117" spans="1:6" ht="28.5">
      <c r="A117" s="507" t="s">
        <v>2459</v>
      </c>
      <c r="B117" s="508" t="s">
        <v>2460</v>
      </c>
      <c r="C117" s="509" t="s">
        <v>170</v>
      </c>
      <c r="D117" s="510">
        <f>6.67*3.98</f>
        <v>26.546599999999998</v>
      </c>
      <c r="E117" s="511">
        <v>17.3</v>
      </c>
      <c r="F117" s="511">
        <f t="shared" si="6"/>
        <v>459.25617999999997</v>
      </c>
    </row>
    <row r="118" spans="1:6" ht="28.5">
      <c r="A118" s="507" t="s">
        <v>2461</v>
      </c>
      <c r="B118" s="508" t="s">
        <v>2462</v>
      </c>
      <c r="C118" s="509" t="s">
        <v>170</v>
      </c>
      <c r="D118" s="510">
        <v>5.66</v>
      </c>
      <c r="E118" s="511">
        <v>9.1999999999999993</v>
      </c>
      <c r="F118" s="511">
        <f t="shared" si="6"/>
        <v>52.071999999999996</v>
      </c>
    </row>
    <row r="119" spans="1:6">
      <c r="A119" s="507" t="s">
        <v>2463</v>
      </c>
      <c r="B119" s="508" t="s">
        <v>2464</v>
      </c>
      <c r="C119" s="509" t="s">
        <v>40</v>
      </c>
      <c r="D119" s="510">
        <v>1.59</v>
      </c>
      <c r="E119" s="511">
        <v>8.57</v>
      </c>
      <c r="F119" s="511">
        <f t="shared" si="6"/>
        <v>13.626300000000001</v>
      </c>
    </row>
    <row r="120" spans="1:6" ht="28.5">
      <c r="A120" s="507" t="s">
        <v>2362</v>
      </c>
      <c r="B120" s="508" t="s">
        <v>2465</v>
      </c>
      <c r="C120" s="509" t="s">
        <v>40</v>
      </c>
      <c r="D120" s="510">
        <v>3.17</v>
      </c>
      <c r="E120" s="511">
        <v>6</v>
      </c>
      <c r="F120" s="511">
        <f t="shared" si="6"/>
        <v>19.02</v>
      </c>
    </row>
    <row r="121" spans="1:6" ht="42.75">
      <c r="A121" s="507" t="s">
        <v>2466</v>
      </c>
      <c r="B121" s="508" t="s">
        <v>2467</v>
      </c>
      <c r="C121" s="509" t="s">
        <v>2334</v>
      </c>
      <c r="D121" s="510">
        <v>1.06</v>
      </c>
      <c r="E121" s="511">
        <v>7.07</v>
      </c>
      <c r="F121" s="511">
        <f t="shared" si="6"/>
        <v>7.4942000000000011</v>
      </c>
    </row>
    <row r="122" spans="1:6" ht="57">
      <c r="A122" s="507" t="s">
        <v>2468</v>
      </c>
      <c r="B122" s="508" t="s">
        <v>2469</v>
      </c>
      <c r="C122" s="509" t="s">
        <v>2334</v>
      </c>
      <c r="D122" s="510">
        <v>0.53</v>
      </c>
      <c r="E122" s="511">
        <v>29.94</v>
      </c>
      <c r="F122" s="511">
        <f t="shared" si="6"/>
        <v>15.868200000000002</v>
      </c>
    </row>
    <row r="123" spans="1:6">
      <c r="A123" s="507" t="s">
        <v>2370</v>
      </c>
      <c r="B123" s="508" t="s">
        <v>2371</v>
      </c>
      <c r="C123" s="509" t="s">
        <v>40</v>
      </c>
      <c r="D123" s="510">
        <v>3.17</v>
      </c>
      <c r="E123" s="511">
        <v>3.81</v>
      </c>
      <c r="F123" s="511">
        <f t="shared" si="6"/>
        <v>12.0777</v>
      </c>
    </row>
    <row r="124" spans="1:6" ht="42.75">
      <c r="A124" s="507" t="s">
        <v>2470</v>
      </c>
      <c r="B124" s="508" t="s">
        <v>2471</v>
      </c>
      <c r="C124" s="509" t="s">
        <v>40</v>
      </c>
      <c r="D124" s="510">
        <v>1.59</v>
      </c>
      <c r="E124" s="511">
        <v>3.63</v>
      </c>
      <c r="F124" s="511">
        <f t="shared" si="6"/>
        <v>5.7717000000000001</v>
      </c>
    </row>
    <row r="125" spans="1:6" ht="99.75">
      <c r="A125" s="507" t="s">
        <v>2472</v>
      </c>
      <c r="B125" s="508" t="s">
        <v>2473</v>
      </c>
      <c r="C125" s="509" t="s">
        <v>61</v>
      </c>
      <c r="D125" s="510">
        <v>1</v>
      </c>
      <c r="E125" s="511">
        <v>26.83</v>
      </c>
      <c r="F125" s="511">
        <f t="shared" si="6"/>
        <v>26.83</v>
      </c>
    </row>
    <row r="126" spans="1:6" ht="15" customHeight="1">
      <c r="A126" s="1131" t="s">
        <v>2374</v>
      </c>
      <c r="B126" s="1132"/>
      <c r="C126" s="1132"/>
      <c r="D126" s="1132"/>
      <c r="E126" s="1132"/>
      <c r="F126" s="1133"/>
    </row>
    <row r="127" spans="1:6" ht="30">
      <c r="A127" s="506" t="s">
        <v>2350</v>
      </c>
      <c r="B127" s="506" t="s">
        <v>2351</v>
      </c>
      <c r="C127" s="506" t="s">
        <v>2352</v>
      </c>
      <c r="D127" s="512" t="s">
        <v>2353</v>
      </c>
      <c r="E127" s="513" t="s">
        <v>2375</v>
      </c>
      <c r="F127" s="513" t="s">
        <v>2376</v>
      </c>
    </row>
    <row r="128" spans="1:6">
      <c r="A128" s="514" t="s">
        <v>2374</v>
      </c>
      <c r="B128" s="514">
        <f>F112+F113+F114+F115+F116+F117+F118+F121+F122+F125</f>
        <v>1704.80978</v>
      </c>
      <c r="C128" s="514">
        <f>F119+F120</f>
        <v>32.646299999999997</v>
      </c>
      <c r="D128" s="514">
        <f>F123+F124</f>
        <v>17.849399999999999</v>
      </c>
      <c r="E128" s="515" t="s">
        <v>2374</v>
      </c>
      <c r="F128" s="537">
        <f>B128+C128+D128</f>
        <v>1755.30548</v>
      </c>
    </row>
    <row r="129" spans="1:7" ht="15" customHeight="1">
      <c r="A129" s="1120" t="s">
        <v>2374</v>
      </c>
      <c r="B129" s="1120"/>
      <c r="C129" s="1120"/>
      <c r="D129" s="1120"/>
      <c r="E129" s="1120"/>
      <c r="F129" s="1120"/>
    </row>
    <row r="130" spans="1:7">
      <c r="A130" s="1121" t="s">
        <v>2474</v>
      </c>
      <c r="B130" s="1121"/>
      <c r="C130" s="1121"/>
      <c r="D130" s="1121"/>
      <c r="E130" s="1121"/>
      <c r="F130" s="1121"/>
    </row>
    <row r="131" spans="1:7">
      <c r="A131" s="1122" t="s">
        <v>2475</v>
      </c>
      <c r="B131" s="1123"/>
      <c r="C131" s="1123"/>
      <c r="D131" s="1123"/>
      <c r="E131" s="1123"/>
      <c r="F131" s="1124"/>
    </row>
    <row r="132" spans="1:7">
      <c r="A132" s="506" t="s">
        <v>2330</v>
      </c>
      <c r="B132" s="1121" t="s">
        <v>2331</v>
      </c>
      <c r="C132" s="1121"/>
      <c r="D132" s="1121"/>
      <c r="E132" s="1121"/>
      <c r="F132" s="506" t="s">
        <v>2332</v>
      </c>
    </row>
    <row r="133" spans="1:7" ht="42.75" customHeight="1">
      <c r="A133" s="507" t="s">
        <v>2476</v>
      </c>
      <c r="B133" s="1129" t="s">
        <v>2477</v>
      </c>
      <c r="C133" s="1126"/>
      <c r="D133" s="1126"/>
      <c r="E133" s="1127"/>
      <c r="F133" s="516" t="s">
        <v>61</v>
      </c>
    </row>
    <row r="134" spans="1:7">
      <c r="A134" s="1128" t="s">
        <v>2335</v>
      </c>
      <c r="B134" s="1128"/>
      <c r="C134" s="1128"/>
      <c r="D134" s="1128"/>
      <c r="E134" s="1128"/>
      <c r="F134" s="1128"/>
    </row>
    <row r="135" spans="1:7" ht="71.25">
      <c r="A135" s="507" t="s">
        <v>2478</v>
      </c>
      <c r="B135" s="508" t="s">
        <v>2479</v>
      </c>
      <c r="C135" s="509" t="s">
        <v>61</v>
      </c>
      <c r="D135" s="510">
        <v>1</v>
      </c>
      <c r="E135" s="511">
        <v>734.75</v>
      </c>
      <c r="F135" s="511">
        <f>D135*E135</f>
        <v>734.75</v>
      </c>
    </row>
    <row r="136" spans="1:7" ht="28.5">
      <c r="A136" s="507" t="s">
        <v>2480</v>
      </c>
      <c r="B136" s="508" t="s">
        <v>2481</v>
      </c>
      <c r="C136" s="509" t="s">
        <v>40</v>
      </c>
      <c r="D136" s="510">
        <v>1</v>
      </c>
      <c r="E136" s="511">
        <v>24.76</v>
      </c>
      <c r="F136" s="511">
        <f>D136*E136</f>
        <v>24.76</v>
      </c>
    </row>
    <row r="137" spans="1:7" ht="28.5">
      <c r="A137" s="507" t="s">
        <v>2482</v>
      </c>
      <c r="B137" s="508" t="s">
        <v>2483</v>
      </c>
      <c r="C137" s="509" t="s">
        <v>40</v>
      </c>
      <c r="D137" s="510">
        <v>1</v>
      </c>
      <c r="E137" s="511">
        <v>18.84</v>
      </c>
      <c r="F137" s="511">
        <f>D137*E137</f>
        <v>18.84</v>
      </c>
    </row>
    <row r="138" spans="1:7" ht="14.45" customHeight="1">
      <c r="A138" s="1117"/>
      <c r="B138" s="1118"/>
      <c r="C138" s="1118"/>
      <c r="D138" s="1118"/>
      <c r="E138" s="1118"/>
      <c r="F138" s="1119"/>
    </row>
    <row r="139" spans="1:7" ht="30">
      <c r="A139" s="506" t="s">
        <v>2350</v>
      </c>
      <c r="B139" s="506" t="s">
        <v>2351</v>
      </c>
      <c r="C139" s="506" t="s">
        <v>2352</v>
      </c>
      <c r="D139" s="512" t="s">
        <v>2353</v>
      </c>
      <c r="E139" s="513" t="s">
        <v>2354</v>
      </c>
      <c r="F139" s="513" t="s">
        <v>2355</v>
      </c>
    </row>
    <row r="140" spans="1:7">
      <c r="A140" s="514"/>
      <c r="B140" s="514">
        <f>F135</f>
        <v>734.75</v>
      </c>
      <c r="C140" s="514">
        <f>F136+F137</f>
        <v>43.6</v>
      </c>
      <c r="D140" s="514"/>
      <c r="E140" s="515"/>
      <c r="F140" s="537">
        <f>B140+C140+D140</f>
        <v>778.35</v>
      </c>
    </row>
    <row r="141" spans="1:7" ht="14.45" customHeight="1">
      <c r="A141" s="1120"/>
      <c r="B141" s="1120"/>
      <c r="C141" s="1120"/>
      <c r="D141" s="1120"/>
      <c r="E141" s="1120"/>
      <c r="F141" s="1120"/>
    </row>
    <row r="142" spans="1:7">
      <c r="A142" s="1121" t="s">
        <v>2484</v>
      </c>
      <c r="B142" s="1121"/>
      <c r="C142" s="1121"/>
      <c r="D142" s="1121"/>
      <c r="E142" s="1121"/>
      <c r="F142" s="1121"/>
    </row>
    <row r="143" spans="1:7" ht="15" customHeight="1">
      <c r="A143" s="1122" t="s">
        <v>2485</v>
      </c>
      <c r="B143" s="1123"/>
      <c r="C143" s="1123"/>
      <c r="D143" s="1123"/>
      <c r="E143" s="1123"/>
      <c r="F143" s="1124"/>
    </row>
    <row r="144" spans="1:7" ht="15" customHeight="1">
      <c r="A144" s="506" t="s">
        <v>2330</v>
      </c>
      <c r="B144" s="1121" t="s">
        <v>2331</v>
      </c>
      <c r="C144" s="1121"/>
      <c r="D144" s="1121"/>
      <c r="E144" s="1121"/>
      <c r="F144" s="506" t="s">
        <v>2332</v>
      </c>
      <c r="G144" s="661"/>
    </row>
    <row r="145" spans="1:6" ht="30.75" customHeight="1">
      <c r="A145" s="507" t="s">
        <v>2486</v>
      </c>
      <c r="B145" s="1129" t="s">
        <v>2487</v>
      </c>
      <c r="C145" s="1126"/>
      <c r="D145" s="1126"/>
      <c r="E145" s="1127"/>
      <c r="F145" s="516" t="s">
        <v>61</v>
      </c>
    </row>
    <row r="146" spans="1:6" ht="15" customHeight="1">
      <c r="A146" s="1128" t="s">
        <v>2335</v>
      </c>
      <c r="B146" s="1128"/>
      <c r="C146" s="1128"/>
      <c r="D146" s="1128"/>
      <c r="E146" s="1128"/>
      <c r="F146" s="1128"/>
    </row>
    <row r="147" spans="1:6" ht="28.5">
      <c r="A147" s="507" t="s">
        <v>2459</v>
      </c>
      <c r="B147" s="508" t="s">
        <v>2460</v>
      </c>
      <c r="C147" s="509" t="s">
        <v>170</v>
      </c>
      <c r="D147" s="662">
        <f>9.17*3.98</f>
        <v>36.496600000000001</v>
      </c>
      <c r="E147" s="511">
        <v>17.53</v>
      </c>
      <c r="F147" s="511">
        <f t="shared" ref="F147:F152" si="7">D147*E147</f>
        <v>639.7853980000001</v>
      </c>
    </row>
    <row r="148" spans="1:6" ht="28.5">
      <c r="A148" s="507" t="s">
        <v>2488</v>
      </c>
      <c r="B148" s="508" t="s">
        <v>2489</v>
      </c>
      <c r="C148" s="509" t="s">
        <v>170</v>
      </c>
      <c r="D148" s="662">
        <v>7.5439999999999996</v>
      </c>
      <c r="E148" s="511">
        <v>10.43</v>
      </c>
      <c r="F148" s="511">
        <f t="shared" si="7"/>
        <v>78.683920000000001</v>
      </c>
    </row>
    <row r="149" spans="1:6" ht="28.5">
      <c r="A149" s="507" t="s">
        <v>2490</v>
      </c>
      <c r="B149" s="508" t="s">
        <v>2491</v>
      </c>
      <c r="C149" s="509" t="s">
        <v>170</v>
      </c>
      <c r="D149" s="662">
        <v>0.115</v>
      </c>
      <c r="E149" s="511">
        <v>48.46</v>
      </c>
      <c r="F149" s="511">
        <f t="shared" si="7"/>
        <v>5.5729000000000006</v>
      </c>
    </row>
    <row r="150" spans="1:6" ht="28.5">
      <c r="A150" s="507" t="s">
        <v>2482</v>
      </c>
      <c r="B150" s="508" t="s">
        <v>2483</v>
      </c>
      <c r="C150" s="509" t="s">
        <v>40</v>
      </c>
      <c r="D150" s="662">
        <v>6.9649999999999999</v>
      </c>
      <c r="E150" s="511">
        <v>18.84</v>
      </c>
      <c r="F150" s="511">
        <f t="shared" si="7"/>
        <v>131.22059999999999</v>
      </c>
    </row>
    <row r="151" spans="1:6" ht="28.5">
      <c r="A151" s="507" t="s">
        <v>2480</v>
      </c>
      <c r="B151" s="508" t="s">
        <v>2481</v>
      </c>
      <c r="C151" s="509" t="s">
        <v>40</v>
      </c>
      <c r="D151" s="662">
        <v>8.4789999999999992</v>
      </c>
      <c r="E151" s="511">
        <v>24.76</v>
      </c>
      <c r="F151" s="511">
        <f t="shared" si="7"/>
        <v>209.94003999999998</v>
      </c>
    </row>
    <row r="152" spans="1:6" ht="42.75">
      <c r="A152" s="507" t="s">
        <v>2492</v>
      </c>
      <c r="B152" s="508" t="s">
        <v>2493</v>
      </c>
      <c r="C152" s="509" t="s">
        <v>109</v>
      </c>
      <c r="D152" s="662">
        <v>8.0000000000000002E-3</v>
      </c>
      <c r="E152" s="511">
        <v>635.52</v>
      </c>
      <c r="F152" s="511">
        <f t="shared" si="7"/>
        <v>5.0841599999999998</v>
      </c>
    </row>
    <row r="153" spans="1:6" ht="15" customHeight="1">
      <c r="A153" s="1117"/>
      <c r="B153" s="1118"/>
      <c r="C153" s="1118"/>
      <c r="D153" s="1118"/>
      <c r="E153" s="1118"/>
      <c r="F153" s="1119"/>
    </row>
    <row r="154" spans="1:6" ht="30">
      <c r="A154" s="506" t="s">
        <v>2350</v>
      </c>
      <c r="B154" s="506" t="s">
        <v>2351</v>
      </c>
      <c r="C154" s="506" t="s">
        <v>2352</v>
      </c>
      <c r="D154" s="512" t="s">
        <v>2353</v>
      </c>
      <c r="E154" s="513" t="s">
        <v>2354</v>
      </c>
      <c r="F154" s="513" t="s">
        <v>2355</v>
      </c>
    </row>
    <row r="155" spans="1:6">
      <c r="A155" s="514"/>
      <c r="B155" s="514">
        <f>F147+F148+F149+F152</f>
        <v>729.12637800000016</v>
      </c>
      <c r="C155" s="514">
        <f>F150+F151</f>
        <v>341.16063999999994</v>
      </c>
      <c r="D155" s="514"/>
      <c r="E155" s="515"/>
      <c r="F155" s="537">
        <f>B155+C155+D155</f>
        <v>1070.287018</v>
      </c>
    </row>
    <row r="156" spans="1:6" ht="15" customHeight="1">
      <c r="A156" s="1120"/>
      <c r="B156" s="1120"/>
      <c r="C156" s="1120"/>
      <c r="D156" s="1120"/>
      <c r="E156" s="1120"/>
      <c r="F156" s="1120"/>
    </row>
    <row r="157" spans="1:6" ht="15" customHeight="1">
      <c r="A157" s="1121" t="s">
        <v>2494</v>
      </c>
      <c r="B157" s="1121"/>
      <c r="C157" s="1121"/>
      <c r="D157" s="1121"/>
      <c r="E157" s="1121"/>
      <c r="F157" s="1121"/>
    </row>
    <row r="158" spans="1:6" ht="15" customHeight="1">
      <c r="A158" s="506" t="s">
        <v>2330</v>
      </c>
      <c r="B158" s="1121" t="s">
        <v>2331</v>
      </c>
      <c r="C158" s="1121"/>
      <c r="D158" s="1121"/>
      <c r="E158" s="1121"/>
      <c r="F158" s="506" t="s">
        <v>2332</v>
      </c>
    </row>
    <row r="159" spans="1:6" ht="30" customHeight="1">
      <c r="A159" s="507" t="s">
        <v>2495</v>
      </c>
      <c r="B159" s="1129" t="s">
        <v>2496</v>
      </c>
      <c r="C159" s="1126"/>
      <c r="D159" s="1126"/>
      <c r="E159" s="1127"/>
      <c r="F159" s="516" t="s">
        <v>61</v>
      </c>
    </row>
    <row r="160" spans="1:6" ht="15" customHeight="1">
      <c r="A160" s="1128" t="s">
        <v>2335</v>
      </c>
      <c r="B160" s="1128"/>
      <c r="C160" s="1128"/>
      <c r="D160" s="1128"/>
      <c r="E160" s="1128"/>
      <c r="F160" s="1128"/>
    </row>
    <row r="161" spans="1:6" ht="28.5">
      <c r="A161" s="507" t="s">
        <v>2497</v>
      </c>
      <c r="B161" s="508" t="s">
        <v>2498</v>
      </c>
      <c r="C161" s="509" t="s">
        <v>246</v>
      </c>
      <c r="D161" s="662">
        <v>43.25</v>
      </c>
      <c r="E161" s="511">
        <v>11.92</v>
      </c>
      <c r="F161" s="511">
        <f t="shared" ref="F161:F168" si="8">D161*E161</f>
        <v>515.54</v>
      </c>
    </row>
    <row r="162" spans="1:6" ht="28.5">
      <c r="A162" s="507" t="s">
        <v>2499</v>
      </c>
      <c r="B162" s="508" t="s">
        <v>2500</v>
      </c>
      <c r="C162" s="509" t="s">
        <v>109</v>
      </c>
      <c r="D162" s="662">
        <v>8.9999999999999993E-3</v>
      </c>
      <c r="E162" s="511">
        <v>95</v>
      </c>
      <c r="F162" s="511">
        <f t="shared" si="8"/>
        <v>0.85499999999999998</v>
      </c>
    </row>
    <row r="163" spans="1:6">
      <c r="A163" s="507" t="s">
        <v>2501</v>
      </c>
      <c r="B163" s="508" t="s">
        <v>2502</v>
      </c>
      <c r="C163" s="509" t="s">
        <v>170</v>
      </c>
      <c r="D163" s="662">
        <v>2.8</v>
      </c>
      <c r="E163" s="511">
        <v>0.78</v>
      </c>
      <c r="F163" s="511">
        <f t="shared" si="8"/>
        <v>2.1839999999999997</v>
      </c>
    </row>
    <row r="164" spans="1:6">
      <c r="A164" s="507" t="s">
        <v>2503</v>
      </c>
      <c r="B164" s="508" t="s">
        <v>2504</v>
      </c>
      <c r="C164" s="509" t="s">
        <v>2444</v>
      </c>
      <c r="D164" s="662">
        <v>9</v>
      </c>
      <c r="E164" s="511">
        <v>5.46</v>
      </c>
      <c r="F164" s="511">
        <f t="shared" si="8"/>
        <v>49.14</v>
      </c>
    </row>
    <row r="165" spans="1:6" ht="15" customHeight="1">
      <c r="A165" s="507" t="s">
        <v>2505</v>
      </c>
      <c r="B165" s="508" t="s">
        <v>2506</v>
      </c>
      <c r="C165" s="509" t="s">
        <v>40</v>
      </c>
      <c r="D165" s="662">
        <v>1</v>
      </c>
      <c r="E165" s="511">
        <v>23.16</v>
      </c>
      <c r="F165" s="511">
        <f t="shared" si="8"/>
        <v>23.16</v>
      </c>
    </row>
    <row r="166" spans="1:6" ht="28.5">
      <c r="A166" s="507" t="s">
        <v>2342</v>
      </c>
      <c r="B166" s="508" t="s">
        <v>2343</v>
      </c>
      <c r="C166" s="509" t="s">
        <v>40</v>
      </c>
      <c r="D166" s="662">
        <v>1.2</v>
      </c>
      <c r="E166" s="511">
        <v>18.34</v>
      </c>
      <c r="F166" s="511">
        <f t="shared" si="8"/>
        <v>22.007999999999999</v>
      </c>
    </row>
    <row r="167" spans="1:6" ht="28.5">
      <c r="A167" s="507" t="s">
        <v>2480</v>
      </c>
      <c r="B167" s="508" t="s">
        <v>2481</v>
      </c>
      <c r="C167" s="509" t="s">
        <v>40</v>
      </c>
      <c r="D167" s="662">
        <v>2</v>
      </c>
      <c r="E167" s="511">
        <v>24.76</v>
      </c>
      <c r="F167" s="511">
        <f t="shared" si="8"/>
        <v>49.52</v>
      </c>
    </row>
    <row r="168" spans="1:6" ht="99.75">
      <c r="A168" s="507" t="s">
        <v>2472</v>
      </c>
      <c r="B168" s="508" t="s">
        <v>2473</v>
      </c>
      <c r="C168" s="509" t="s">
        <v>61</v>
      </c>
      <c r="D168" s="510">
        <v>1</v>
      </c>
      <c r="E168" s="511">
        <v>26.83</v>
      </c>
      <c r="F168" s="511">
        <f t="shared" si="8"/>
        <v>26.83</v>
      </c>
    </row>
    <row r="169" spans="1:6" ht="15" customHeight="1">
      <c r="A169" s="1117"/>
      <c r="B169" s="1118"/>
      <c r="C169" s="1118"/>
      <c r="D169" s="1118"/>
      <c r="E169" s="1118"/>
      <c r="F169" s="1119"/>
    </row>
    <row r="170" spans="1:6" ht="30">
      <c r="A170" s="506" t="s">
        <v>2350</v>
      </c>
      <c r="B170" s="506" t="s">
        <v>2351</v>
      </c>
      <c r="C170" s="506" t="s">
        <v>2352</v>
      </c>
      <c r="D170" s="512" t="s">
        <v>2353</v>
      </c>
      <c r="E170" s="513" t="s">
        <v>2354</v>
      </c>
      <c r="F170" s="513" t="s">
        <v>2355</v>
      </c>
    </row>
    <row r="171" spans="1:6">
      <c r="A171" s="514"/>
      <c r="B171" s="514">
        <f>SUM(F161:F164)+F168</f>
        <v>594.54899999999998</v>
      </c>
      <c r="C171" s="514">
        <f>F165+F166+F167</f>
        <v>94.688000000000002</v>
      </c>
      <c r="D171" s="514"/>
      <c r="E171" s="515"/>
      <c r="F171" s="537">
        <f>B171+C171+D171</f>
        <v>689.23699999999997</v>
      </c>
    </row>
    <row r="172" spans="1:6" ht="15" customHeight="1">
      <c r="A172" s="1120"/>
      <c r="B172" s="1120"/>
      <c r="C172" s="1120"/>
      <c r="D172" s="1120"/>
      <c r="E172" s="1120"/>
      <c r="F172" s="1120"/>
    </row>
    <row r="173" spans="1:6">
      <c r="A173" s="1121" t="s">
        <v>2507</v>
      </c>
      <c r="B173" s="1121"/>
      <c r="C173" s="1121"/>
      <c r="D173" s="1121"/>
      <c r="E173" s="1121"/>
      <c r="F173" s="1121"/>
    </row>
    <row r="174" spans="1:6" ht="15" customHeight="1">
      <c r="A174" s="1122" t="s">
        <v>2508</v>
      </c>
      <c r="B174" s="1123"/>
      <c r="C174" s="1123"/>
      <c r="D174" s="1123"/>
      <c r="E174" s="1123"/>
      <c r="F174" s="1124"/>
    </row>
    <row r="175" spans="1:6">
      <c r="A175" s="506" t="s">
        <v>2330</v>
      </c>
      <c r="B175" s="1121" t="s">
        <v>2331</v>
      </c>
      <c r="C175" s="1121"/>
      <c r="D175" s="1121"/>
      <c r="E175" s="1121"/>
      <c r="F175" s="506" t="s">
        <v>2332</v>
      </c>
    </row>
    <row r="176" spans="1:6" ht="40.5" customHeight="1">
      <c r="A176" s="507" t="s">
        <v>2509</v>
      </c>
      <c r="B176" s="1129" t="s">
        <v>2510</v>
      </c>
      <c r="C176" s="1126"/>
      <c r="D176" s="1126"/>
      <c r="E176" s="1127"/>
      <c r="F176" s="516" t="s">
        <v>2334</v>
      </c>
    </row>
    <row r="177" spans="1:7">
      <c r="A177" s="1128" t="s">
        <v>2335</v>
      </c>
      <c r="B177" s="1128"/>
      <c r="C177" s="1128"/>
      <c r="D177" s="1128"/>
      <c r="E177" s="1128"/>
      <c r="F177" s="1128"/>
    </row>
    <row r="178" spans="1:7" ht="42.75">
      <c r="A178" s="507" t="s">
        <v>2511</v>
      </c>
      <c r="B178" s="508" t="s">
        <v>2512</v>
      </c>
      <c r="C178" s="509" t="s">
        <v>2334</v>
      </c>
      <c r="D178" s="662">
        <v>1</v>
      </c>
      <c r="E178" s="511">
        <v>178.6</v>
      </c>
      <c r="F178" s="511">
        <f t="shared" ref="F178:F183" si="9">D178*E178</f>
        <v>178.6</v>
      </c>
      <c r="G178" s="661"/>
    </row>
    <row r="179" spans="1:7" ht="28.5">
      <c r="A179" s="507" t="s">
        <v>2513</v>
      </c>
      <c r="B179" s="508" t="s">
        <v>2514</v>
      </c>
      <c r="C179" s="509" t="s">
        <v>2334</v>
      </c>
      <c r="D179" s="662">
        <v>1</v>
      </c>
      <c r="E179" s="511">
        <v>122.18</v>
      </c>
      <c r="F179" s="511">
        <f t="shared" si="9"/>
        <v>122.18</v>
      </c>
    </row>
    <row r="180" spans="1:7" ht="28.5">
      <c r="A180" s="507" t="s">
        <v>2340</v>
      </c>
      <c r="B180" s="508" t="s">
        <v>2515</v>
      </c>
      <c r="C180" s="509" t="s">
        <v>40</v>
      </c>
      <c r="D180" s="662">
        <v>1</v>
      </c>
      <c r="E180" s="511">
        <v>27.09</v>
      </c>
      <c r="F180" s="511">
        <f t="shared" si="9"/>
        <v>27.09</v>
      </c>
    </row>
    <row r="181" spans="1:7" ht="28.5">
      <c r="A181" s="507" t="s">
        <v>2342</v>
      </c>
      <c r="B181" s="508" t="s">
        <v>2516</v>
      </c>
      <c r="C181" s="509" t="s">
        <v>40</v>
      </c>
      <c r="D181" s="662">
        <v>1</v>
      </c>
      <c r="E181" s="511">
        <v>18.34</v>
      </c>
      <c r="F181" s="511">
        <f t="shared" si="9"/>
        <v>18.34</v>
      </c>
    </row>
    <row r="182" spans="1:7" ht="28.5">
      <c r="A182" s="507" t="s">
        <v>2517</v>
      </c>
      <c r="B182" s="508" t="s">
        <v>2518</v>
      </c>
      <c r="C182" s="509" t="s">
        <v>2334</v>
      </c>
      <c r="D182" s="662">
        <v>1</v>
      </c>
      <c r="E182" s="511">
        <v>5.12</v>
      </c>
      <c r="F182" s="511">
        <f t="shared" si="9"/>
        <v>5.12</v>
      </c>
    </row>
    <row r="183" spans="1:7" ht="28.5">
      <c r="A183" s="507" t="s">
        <v>2519</v>
      </c>
      <c r="B183" s="508" t="s">
        <v>2520</v>
      </c>
      <c r="C183" s="509" t="s">
        <v>2334</v>
      </c>
      <c r="D183" s="662">
        <v>1</v>
      </c>
      <c r="E183" s="511">
        <v>72.400000000000006</v>
      </c>
      <c r="F183" s="511">
        <f t="shared" si="9"/>
        <v>72.400000000000006</v>
      </c>
    </row>
    <row r="184" spans="1:7">
      <c r="A184" s="1117"/>
      <c r="B184" s="1118"/>
      <c r="C184" s="1118"/>
      <c r="D184" s="1118"/>
      <c r="E184" s="1118"/>
      <c r="F184" s="1119"/>
    </row>
    <row r="185" spans="1:7" ht="30">
      <c r="A185" s="506" t="s">
        <v>2350</v>
      </c>
      <c r="B185" s="506" t="s">
        <v>2351</v>
      </c>
      <c r="C185" s="506" t="s">
        <v>2352</v>
      </c>
      <c r="D185" s="512" t="s">
        <v>2353</v>
      </c>
      <c r="E185" s="513" t="s">
        <v>2354</v>
      </c>
      <c r="F185" s="513" t="s">
        <v>2355</v>
      </c>
    </row>
    <row r="186" spans="1:7">
      <c r="A186" s="514"/>
      <c r="B186" s="514">
        <f>F178+F179+F182+F183</f>
        <v>378.29999999999995</v>
      </c>
      <c r="C186" s="514">
        <f>F180+F181</f>
        <v>45.43</v>
      </c>
      <c r="D186" s="514"/>
      <c r="E186" s="515"/>
      <c r="F186" s="537">
        <f>B186+C186+D186</f>
        <v>423.72999999999996</v>
      </c>
    </row>
    <row r="187" spans="1:7">
      <c r="A187" s="1120"/>
      <c r="B187" s="1120"/>
      <c r="C187" s="1120"/>
      <c r="D187" s="1120"/>
      <c r="E187" s="1120"/>
      <c r="F187" s="1120"/>
    </row>
    <row r="188" spans="1:7">
      <c r="A188" s="1121" t="s">
        <v>2709</v>
      </c>
      <c r="B188" s="1121"/>
      <c r="C188" s="1121"/>
      <c r="D188" s="1121"/>
      <c r="E188" s="1121"/>
      <c r="F188" s="1121"/>
    </row>
    <row r="189" spans="1:7">
      <c r="A189" s="1122" t="s">
        <v>2713</v>
      </c>
      <c r="B189" s="1123"/>
      <c r="C189" s="1123"/>
      <c r="D189" s="1123"/>
      <c r="E189" s="1123"/>
      <c r="F189" s="1124"/>
    </row>
    <row r="190" spans="1:7">
      <c r="A190" s="897" t="s">
        <v>2330</v>
      </c>
      <c r="B190" s="1121" t="s">
        <v>2331</v>
      </c>
      <c r="C190" s="1121"/>
      <c r="D190" s="1121"/>
      <c r="E190" s="1121"/>
      <c r="F190" s="897" t="s">
        <v>2332</v>
      </c>
    </row>
    <row r="191" spans="1:7" ht="43.5" customHeight="1">
      <c r="A191" s="507" t="s">
        <v>2710</v>
      </c>
      <c r="B191" s="1125" t="s">
        <v>2711</v>
      </c>
      <c r="C191" s="1126"/>
      <c r="D191" s="1126"/>
      <c r="E191" s="1127"/>
      <c r="F191" s="516" t="s">
        <v>2334</v>
      </c>
    </row>
    <row r="192" spans="1:7">
      <c r="A192" s="1128" t="s">
        <v>2335</v>
      </c>
      <c r="B192" s="1128"/>
      <c r="C192" s="1128"/>
      <c r="D192" s="1128"/>
      <c r="E192" s="1128"/>
      <c r="F192" s="1128"/>
    </row>
    <row r="193" spans="1:6">
      <c r="A193" s="507" t="s">
        <v>2348</v>
      </c>
      <c r="B193" s="508" t="s">
        <v>2712</v>
      </c>
      <c r="C193" s="509" t="s">
        <v>246</v>
      </c>
      <c r="D193" s="662">
        <v>0.5</v>
      </c>
      <c r="E193" s="511">
        <v>0.22</v>
      </c>
      <c r="F193" s="511">
        <f t="shared" ref="F193:F196" si="10">D193*E193</f>
        <v>0.11</v>
      </c>
    </row>
    <row r="194" spans="1:6" ht="28.5">
      <c r="A194" s="507" t="s">
        <v>2366</v>
      </c>
      <c r="B194" s="508" t="s">
        <v>2715</v>
      </c>
      <c r="C194" s="509" t="s">
        <v>2334</v>
      </c>
      <c r="D194" s="662">
        <v>1</v>
      </c>
      <c r="E194" s="511">
        <v>774.82</v>
      </c>
      <c r="F194" s="511">
        <f t="shared" si="10"/>
        <v>774.82</v>
      </c>
    </row>
    <row r="195" spans="1:6" ht="28.5">
      <c r="A195" s="507" t="s">
        <v>2340</v>
      </c>
      <c r="B195" s="508" t="s">
        <v>2515</v>
      </c>
      <c r="C195" s="509" t="s">
        <v>40</v>
      </c>
      <c r="D195" s="662">
        <v>1</v>
      </c>
      <c r="E195" s="511">
        <v>27.09</v>
      </c>
      <c r="F195" s="511">
        <f t="shared" si="10"/>
        <v>27.09</v>
      </c>
    </row>
    <row r="196" spans="1:6" ht="28.5">
      <c r="A196" s="507" t="s">
        <v>2342</v>
      </c>
      <c r="B196" s="508" t="s">
        <v>2516</v>
      </c>
      <c r="C196" s="509" t="s">
        <v>40</v>
      </c>
      <c r="D196" s="662">
        <v>1</v>
      </c>
      <c r="E196" s="511">
        <v>18.34</v>
      </c>
      <c r="F196" s="511">
        <f t="shared" si="10"/>
        <v>18.34</v>
      </c>
    </row>
    <row r="197" spans="1:6">
      <c r="A197" s="1117"/>
      <c r="B197" s="1118"/>
      <c r="C197" s="1118"/>
      <c r="D197" s="1118"/>
      <c r="E197" s="1118"/>
      <c r="F197" s="1119"/>
    </row>
    <row r="198" spans="1:6" ht="30">
      <c r="A198" s="897" t="s">
        <v>2350</v>
      </c>
      <c r="B198" s="897" t="s">
        <v>2351</v>
      </c>
      <c r="C198" s="897" t="s">
        <v>2352</v>
      </c>
      <c r="D198" s="512" t="s">
        <v>2353</v>
      </c>
      <c r="E198" s="513" t="s">
        <v>2354</v>
      </c>
      <c r="F198" s="513" t="s">
        <v>2355</v>
      </c>
    </row>
    <row r="199" spans="1:6">
      <c r="A199" s="514"/>
      <c r="B199" s="514">
        <f>SUM(F193:F194)</f>
        <v>774.93000000000006</v>
      </c>
      <c r="C199" s="514">
        <f>F195+F196</f>
        <v>45.43</v>
      </c>
      <c r="D199" s="514"/>
      <c r="E199" s="515"/>
      <c r="F199" s="537">
        <f>SUM(A199:E199)</f>
        <v>820.36</v>
      </c>
    </row>
    <row r="200" spans="1:6">
      <c r="A200" s="1120"/>
      <c r="B200" s="1120"/>
      <c r="C200" s="1120"/>
      <c r="D200" s="1120"/>
      <c r="E200" s="1120"/>
      <c r="F200" s="1120"/>
    </row>
    <row r="203" spans="1:6" ht="15.75">
      <c r="B203" s="919" t="s">
        <v>2714</v>
      </c>
    </row>
    <row r="204" spans="1:6">
      <c r="B204" t="str">
        <f>UPPER(B203)</f>
        <v>TORNEIRA DE MESA COM FECHAMENTO AUTOMÁTICO P/ LAVATÓRIO DECA ECO 1173.C</v>
      </c>
    </row>
  </sheetData>
  <sheetProtection password="8D0B" sheet="1" objects="1" scenarios="1" selectLockedCells="1" selectUnlockedCells="1"/>
  <mergeCells count="81">
    <mergeCell ref="A89:F89"/>
    <mergeCell ref="A74:F74"/>
    <mergeCell ref="B76:E76"/>
    <mergeCell ref="A77:F77"/>
    <mergeCell ref="A55:F55"/>
    <mergeCell ref="A72:F72"/>
    <mergeCell ref="A73:F73"/>
    <mergeCell ref="B75:E75"/>
    <mergeCell ref="B57:E57"/>
    <mergeCell ref="B58:E58"/>
    <mergeCell ref="A59:F59"/>
    <mergeCell ref="A69:F69"/>
    <mergeCell ref="A56:F56"/>
    <mergeCell ref="A36:F36"/>
    <mergeCell ref="A54:F54"/>
    <mergeCell ref="A32:F32"/>
    <mergeCell ref="A33:F33"/>
    <mergeCell ref="B34:E34"/>
    <mergeCell ref="B35:E35"/>
    <mergeCell ref="A96:F96"/>
    <mergeCell ref="A103:F103"/>
    <mergeCell ref="A1:F1"/>
    <mergeCell ref="A2:F2"/>
    <mergeCell ref="B3:E3"/>
    <mergeCell ref="A15:F15"/>
    <mergeCell ref="A12:F12"/>
    <mergeCell ref="A5:F5"/>
    <mergeCell ref="B4:E4"/>
    <mergeCell ref="A28:F28"/>
    <mergeCell ref="A31:F31"/>
    <mergeCell ref="A16:F16"/>
    <mergeCell ref="A17:F17"/>
    <mergeCell ref="B18:E18"/>
    <mergeCell ref="B19:E19"/>
    <mergeCell ref="A20:F20"/>
    <mergeCell ref="A92:F92"/>
    <mergeCell ref="A106:F106"/>
    <mergeCell ref="A107:F107"/>
    <mergeCell ref="A131:F131"/>
    <mergeCell ref="A142:F142"/>
    <mergeCell ref="B109:E109"/>
    <mergeCell ref="B110:E110"/>
    <mergeCell ref="A111:F111"/>
    <mergeCell ref="A126:F126"/>
    <mergeCell ref="A129:F129"/>
    <mergeCell ref="A108:F108"/>
    <mergeCell ref="A130:F130"/>
    <mergeCell ref="B132:E132"/>
    <mergeCell ref="A93:F93"/>
    <mergeCell ref="B94:E94"/>
    <mergeCell ref="B95:E95"/>
    <mergeCell ref="A187:F187"/>
    <mergeCell ref="A174:F174"/>
    <mergeCell ref="B159:E159"/>
    <mergeCell ref="A160:F160"/>
    <mergeCell ref="A169:F169"/>
    <mergeCell ref="A172:F172"/>
    <mergeCell ref="A173:F173"/>
    <mergeCell ref="B175:E175"/>
    <mergeCell ref="B176:E176"/>
    <mergeCell ref="A177:F177"/>
    <mergeCell ref="A184:F184"/>
    <mergeCell ref="A156:F156"/>
    <mergeCell ref="A157:F157"/>
    <mergeCell ref="B158:E158"/>
    <mergeCell ref="B133:E133"/>
    <mergeCell ref="A138:F138"/>
    <mergeCell ref="A141:F141"/>
    <mergeCell ref="A134:F134"/>
    <mergeCell ref="A143:F143"/>
    <mergeCell ref="B144:E144"/>
    <mergeCell ref="B145:E145"/>
    <mergeCell ref="A146:F146"/>
    <mergeCell ref="A153:F153"/>
    <mergeCell ref="A197:F197"/>
    <mergeCell ref="A200:F200"/>
    <mergeCell ref="A188:F188"/>
    <mergeCell ref="A189:F189"/>
    <mergeCell ref="B190:E190"/>
    <mergeCell ref="B191:E191"/>
    <mergeCell ref="A192:F192"/>
  </mergeCells>
  <printOptions horizontalCentered="1"/>
  <pageMargins left="0.51180555555555551" right="0.31527777777777777" top="0.59027777777777779" bottom="0.59027777777777779" header="0.51180555555555551" footer="0.51180555555555551"/>
  <pageSetup paperSize="9" scale="47" firstPageNumber="0" fitToHeight="3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332"/>
  <sheetViews>
    <sheetView view="pageBreakPreview" zoomScale="80" zoomScaleNormal="90" zoomScaleSheetLayoutView="80" workbookViewId="0">
      <selection sqref="A1:XFD1048576"/>
    </sheetView>
  </sheetViews>
  <sheetFormatPr defaultColWidth="9" defaultRowHeight="15"/>
  <cols>
    <col min="1" max="1" width="19.28515625" customWidth="1"/>
    <col min="2" max="2" width="51" customWidth="1"/>
    <col min="3" max="3" width="11.5703125" customWidth="1"/>
    <col min="4" max="4" width="11.7109375" customWidth="1"/>
    <col min="5" max="5" width="14" customWidth="1"/>
    <col min="6" max="6" width="16.7109375" customWidth="1"/>
  </cols>
  <sheetData>
    <row r="1" spans="1:6" ht="60" customHeight="1">
      <c r="A1" s="1154" t="s">
        <v>2521</v>
      </c>
      <c r="B1" s="1154"/>
      <c r="C1" s="1154"/>
      <c r="D1" s="1154"/>
      <c r="E1" s="1154"/>
      <c r="F1" s="1154"/>
    </row>
    <row r="2" spans="1:6" ht="13.15" customHeight="1">
      <c r="A2" s="640"/>
      <c r="B2" s="640"/>
      <c r="C2" s="640"/>
      <c r="D2" s="640"/>
      <c r="E2" s="640"/>
      <c r="F2" s="640"/>
    </row>
    <row r="3" spans="1:6" ht="15" customHeight="1">
      <c r="A3" s="489" t="s">
        <v>2330</v>
      </c>
      <c r="B3" s="1151" t="s">
        <v>2331</v>
      </c>
      <c r="C3" s="1151"/>
      <c r="D3" s="1151"/>
      <c r="E3" s="1151"/>
      <c r="F3" s="489" t="s">
        <v>2332</v>
      </c>
    </row>
    <row r="4" spans="1:6" ht="36.75" customHeight="1">
      <c r="A4" s="353" t="s">
        <v>2522</v>
      </c>
      <c r="B4" s="1152" t="s">
        <v>2523</v>
      </c>
      <c r="C4" s="1152"/>
      <c r="D4" s="1152"/>
      <c r="E4" s="1152"/>
      <c r="F4" s="505" t="s">
        <v>96</v>
      </c>
    </row>
    <row r="5" spans="1:6" ht="15" customHeight="1">
      <c r="A5" s="1149" t="s">
        <v>2335</v>
      </c>
      <c r="B5" s="1149"/>
      <c r="C5" s="1149"/>
      <c r="D5" s="1149"/>
      <c r="E5" s="1149"/>
      <c r="F5" s="1149"/>
    </row>
    <row r="6" spans="1:6" ht="30">
      <c r="A6" s="490" t="s">
        <v>11</v>
      </c>
      <c r="B6" s="517" t="s">
        <v>2336</v>
      </c>
      <c r="C6" s="490" t="s">
        <v>2337</v>
      </c>
      <c r="D6" s="490" t="s">
        <v>16</v>
      </c>
      <c r="E6" s="490" t="s">
        <v>2338</v>
      </c>
      <c r="F6" s="490" t="s">
        <v>2339</v>
      </c>
    </row>
    <row r="7" spans="1:6">
      <c r="A7" s="359" t="s">
        <v>2524</v>
      </c>
      <c r="B7" s="518" t="s">
        <v>2525</v>
      </c>
      <c r="C7" s="348" t="s">
        <v>96</v>
      </c>
      <c r="D7" s="358">
        <v>1</v>
      </c>
      <c r="E7" s="358">
        <v>24.9</v>
      </c>
      <c r="F7" s="358">
        <f t="shared" ref="F7:F12" si="0">D7*E7</f>
        <v>24.9</v>
      </c>
    </row>
    <row r="8" spans="1:6">
      <c r="A8" s="359" t="s">
        <v>2524</v>
      </c>
      <c r="B8" s="518" t="s">
        <v>2526</v>
      </c>
      <c r="C8" s="348" t="s">
        <v>96</v>
      </c>
      <c r="D8" s="358">
        <v>1</v>
      </c>
      <c r="E8" s="358">
        <v>7.09</v>
      </c>
      <c r="F8" s="358">
        <f t="shared" si="0"/>
        <v>7.09</v>
      </c>
    </row>
    <row r="9" spans="1:6">
      <c r="A9" s="359" t="s">
        <v>2524</v>
      </c>
      <c r="B9" s="518" t="s">
        <v>2527</v>
      </c>
      <c r="C9" s="348" t="s">
        <v>96</v>
      </c>
      <c r="D9" s="358">
        <v>2</v>
      </c>
      <c r="E9" s="358">
        <v>11.49</v>
      </c>
      <c r="F9" s="358">
        <f t="shared" si="0"/>
        <v>22.98</v>
      </c>
    </row>
    <row r="10" spans="1:6" ht="28.5">
      <c r="A10" s="359" t="s">
        <v>2524</v>
      </c>
      <c r="B10" s="518" t="s">
        <v>2528</v>
      </c>
      <c r="C10" s="348" t="s">
        <v>96</v>
      </c>
      <c r="D10" s="358">
        <v>1</v>
      </c>
      <c r="E10" s="358">
        <v>38.9</v>
      </c>
      <c r="F10" s="358">
        <f t="shared" si="0"/>
        <v>38.9</v>
      </c>
    </row>
    <row r="11" spans="1:6" ht="28.5">
      <c r="A11" s="359" t="s">
        <v>2529</v>
      </c>
      <c r="B11" s="492" t="s">
        <v>1102</v>
      </c>
      <c r="C11" s="500" t="s">
        <v>40</v>
      </c>
      <c r="D11" s="358">
        <v>0.6</v>
      </c>
      <c r="E11" s="493">
        <v>22.51</v>
      </c>
      <c r="F11" s="493">
        <f t="shared" si="0"/>
        <v>13.506</v>
      </c>
    </row>
    <row r="12" spans="1:6" ht="28.5">
      <c r="A12" s="359" t="s">
        <v>2342</v>
      </c>
      <c r="B12" s="492" t="s">
        <v>2343</v>
      </c>
      <c r="C12" s="500" t="s">
        <v>40</v>
      </c>
      <c r="D12" s="358">
        <v>0.6</v>
      </c>
      <c r="E12" s="493">
        <v>14.33</v>
      </c>
      <c r="F12" s="493">
        <f t="shared" si="0"/>
        <v>8.597999999999999</v>
      </c>
    </row>
    <row r="13" spans="1:6">
      <c r="A13" s="359"/>
      <c r="B13" s="492"/>
      <c r="C13" s="500"/>
      <c r="D13" s="496"/>
      <c r="E13" s="499"/>
      <c r="F13" s="499"/>
    </row>
    <row r="14" spans="1:6" ht="15" customHeight="1">
      <c r="A14" s="1149" t="s">
        <v>1083</v>
      </c>
      <c r="B14" s="1149"/>
      <c r="C14" s="1149"/>
      <c r="D14" s="1149"/>
      <c r="E14" s="1149"/>
      <c r="F14" s="1149"/>
    </row>
    <row r="15" spans="1:6" ht="30">
      <c r="A15" s="490" t="s">
        <v>2350</v>
      </c>
      <c r="B15" s="490" t="s">
        <v>2351</v>
      </c>
      <c r="C15" s="490" t="s">
        <v>2352</v>
      </c>
      <c r="D15" s="494" t="s">
        <v>2353</v>
      </c>
      <c r="E15" s="495" t="s">
        <v>2354</v>
      </c>
      <c r="F15" s="495" t="s">
        <v>2355</v>
      </c>
    </row>
    <row r="16" spans="1:6">
      <c r="A16" s="496"/>
      <c r="B16" s="496">
        <f>SUM(F7:F10)</f>
        <v>93.87</v>
      </c>
      <c r="C16" s="496">
        <f>SUM(F11:F12)</f>
        <v>22.103999999999999</v>
      </c>
      <c r="D16" s="496"/>
      <c r="E16" s="497"/>
      <c r="F16" s="503">
        <f>SUM(A16:E16)</f>
        <v>115.974</v>
      </c>
    </row>
    <row r="17" spans="1:6">
      <c r="A17" s="235"/>
      <c r="B17" s="235"/>
      <c r="C17" s="235"/>
      <c r="D17" s="235"/>
      <c r="E17" s="236"/>
      <c r="F17" s="237"/>
    </row>
    <row r="18" spans="1:6" ht="15" customHeight="1">
      <c r="A18" s="489" t="s">
        <v>2330</v>
      </c>
      <c r="B18" s="1151" t="s">
        <v>2331</v>
      </c>
      <c r="C18" s="1151"/>
      <c r="D18" s="1151"/>
      <c r="E18" s="1151"/>
      <c r="F18" s="489" t="s">
        <v>2332</v>
      </c>
    </row>
    <row r="19" spans="1:6" ht="36" customHeight="1">
      <c r="A19" s="353" t="s">
        <v>2530</v>
      </c>
      <c r="B19" s="1152" t="s">
        <v>2531</v>
      </c>
      <c r="C19" s="1152"/>
      <c r="D19" s="1152"/>
      <c r="E19" s="1152"/>
      <c r="F19" s="505" t="s">
        <v>96</v>
      </c>
    </row>
    <row r="20" spans="1:6" ht="15" customHeight="1">
      <c r="A20" s="1149" t="s">
        <v>2335</v>
      </c>
      <c r="B20" s="1149"/>
      <c r="C20" s="1149"/>
      <c r="D20" s="1149"/>
      <c r="E20" s="1149"/>
      <c r="F20" s="1149"/>
    </row>
    <row r="21" spans="1:6" ht="30">
      <c r="A21" s="490" t="s">
        <v>11</v>
      </c>
      <c r="B21" s="517" t="s">
        <v>2336</v>
      </c>
      <c r="C21" s="490" t="s">
        <v>2337</v>
      </c>
      <c r="D21" s="490" t="s">
        <v>16</v>
      </c>
      <c r="E21" s="490" t="s">
        <v>2338</v>
      </c>
      <c r="F21" s="490" t="s">
        <v>2339</v>
      </c>
    </row>
    <row r="22" spans="1:6">
      <c r="A22" s="359" t="s">
        <v>2524</v>
      </c>
      <c r="B22" s="518" t="s">
        <v>2525</v>
      </c>
      <c r="C22" s="348" t="s">
        <v>96</v>
      </c>
      <c r="D22" s="358">
        <v>1</v>
      </c>
      <c r="E22" s="358">
        <v>24.9</v>
      </c>
      <c r="F22" s="358">
        <f t="shared" ref="F22:F27" si="1">D22*E22</f>
        <v>24.9</v>
      </c>
    </row>
    <row r="23" spans="1:6">
      <c r="A23" s="359" t="s">
        <v>2524</v>
      </c>
      <c r="B23" s="518" t="s">
        <v>2526</v>
      </c>
      <c r="C23" s="348" t="s">
        <v>96</v>
      </c>
      <c r="D23" s="358">
        <v>2</v>
      </c>
      <c r="E23" s="358">
        <v>7.09</v>
      </c>
      <c r="F23" s="358">
        <f t="shared" si="1"/>
        <v>14.18</v>
      </c>
    </row>
    <row r="24" spans="1:6">
      <c r="A24" s="359" t="s">
        <v>2524</v>
      </c>
      <c r="B24" s="518" t="s">
        <v>2527</v>
      </c>
      <c r="C24" s="348" t="s">
        <v>96</v>
      </c>
      <c r="D24" s="358">
        <v>1</v>
      </c>
      <c r="E24" s="358">
        <v>11.49</v>
      </c>
      <c r="F24" s="358">
        <f t="shared" si="1"/>
        <v>11.49</v>
      </c>
    </row>
    <row r="25" spans="1:6" ht="28.5">
      <c r="A25" s="359" t="s">
        <v>2524</v>
      </c>
      <c r="B25" s="518" t="s">
        <v>2528</v>
      </c>
      <c r="C25" s="348" t="s">
        <v>96</v>
      </c>
      <c r="D25" s="358">
        <v>1</v>
      </c>
      <c r="E25" s="358">
        <v>38.9</v>
      </c>
      <c r="F25" s="358">
        <f t="shared" si="1"/>
        <v>38.9</v>
      </c>
    </row>
    <row r="26" spans="1:6" ht="28.5">
      <c r="A26" s="359" t="s">
        <v>2529</v>
      </c>
      <c r="B26" s="492" t="s">
        <v>1102</v>
      </c>
      <c r="C26" s="500" t="s">
        <v>40</v>
      </c>
      <c r="D26" s="358">
        <v>0.6</v>
      </c>
      <c r="E26" s="493">
        <v>22.51</v>
      </c>
      <c r="F26" s="493">
        <f t="shared" si="1"/>
        <v>13.506</v>
      </c>
    </row>
    <row r="27" spans="1:6" ht="28.5">
      <c r="A27" s="359" t="s">
        <v>2342</v>
      </c>
      <c r="B27" s="492" t="s">
        <v>2343</v>
      </c>
      <c r="C27" s="500" t="s">
        <v>40</v>
      </c>
      <c r="D27" s="358">
        <v>0.6</v>
      </c>
      <c r="E27" s="493">
        <v>14.33</v>
      </c>
      <c r="F27" s="493">
        <f t="shared" si="1"/>
        <v>8.597999999999999</v>
      </c>
    </row>
    <row r="28" spans="1:6">
      <c r="A28" s="359"/>
      <c r="B28" s="492"/>
      <c r="C28" s="500"/>
      <c r="D28" s="496"/>
      <c r="E28" s="499"/>
      <c r="F28" s="499"/>
    </row>
    <row r="29" spans="1:6" ht="15" customHeight="1">
      <c r="A29" s="1149" t="s">
        <v>1083</v>
      </c>
      <c r="B29" s="1149"/>
      <c r="C29" s="1149"/>
      <c r="D29" s="1149"/>
      <c r="E29" s="1149"/>
      <c r="F29" s="1149"/>
    </row>
    <row r="30" spans="1:6" ht="30">
      <c r="A30" s="490" t="s">
        <v>2350</v>
      </c>
      <c r="B30" s="490" t="s">
        <v>2351</v>
      </c>
      <c r="C30" s="490" t="s">
        <v>2352</v>
      </c>
      <c r="D30" s="494" t="s">
        <v>2353</v>
      </c>
      <c r="E30" s="495" t="s">
        <v>2354</v>
      </c>
      <c r="F30" s="495" t="s">
        <v>2355</v>
      </c>
    </row>
    <row r="31" spans="1:6">
      <c r="A31" s="496"/>
      <c r="B31" s="496">
        <f>SUM(F22:F25)</f>
        <v>89.47</v>
      </c>
      <c r="C31" s="496">
        <f>SUM(F26:F27)</f>
        <v>22.103999999999999</v>
      </c>
      <c r="D31" s="496"/>
      <c r="E31" s="497"/>
      <c r="F31" s="503">
        <f>SUM(A31:E31)</f>
        <v>111.574</v>
      </c>
    </row>
    <row r="32" spans="1:6" ht="22.5" customHeight="1">
      <c r="A32" s="235"/>
      <c r="B32" s="235"/>
      <c r="C32" s="235"/>
      <c r="D32" s="235"/>
      <c r="E32" s="236"/>
      <c r="F32" s="237"/>
    </row>
    <row r="33" spans="1:6" ht="15" customHeight="1">
      <c r="A33" s="489" t="s">
        <v>2330</v>
      </c>
      <c r="B33" s="1151" t="s">
        <v>2331</v>
      </c>
      <c r="C33" s="1151"/>
      <c r="D33" s="1151"/>
      <c r="E33" s="1151"/>
      <c r="F33" s="489" t="s">
        <v>2332</v>
      </c>
    </row>
    <row r="34" spans="1:6" ht="36" customHeight="1">
      <c r="A34" s="353" t="s">
        <v>2532</v>
      </c>
      <c r="B34" s="1152" t="s">
        <v>2533</v>
      </c>
      <c r="C34" s="1152"/>
      <c r="D34" s="1152"/>
      <c r="E34" s="1152"/>
      <c r="F34" s="505" t="s">
        <v>96</v>
      </c>
    </row>
    <row r="35" spans="1:6" ht="15" customHeight="1">
      <c r="A35" s="1149" t="s">
        <v>2335</v>
      </c>
      <c r="B35" s="1149"/>
      <c r="C35" s="1149"/>
      <c r="D35" s="1149"/>
      <c r="E35" s="1149"/>
      <c r="F35" s="1149"/>
    </row>
    <row r="36" spans="1:6" ht="30">
      <c r="A36" s="490" t="s">
        <v>11</v>
      </c>
      <c r="B36" s="517" t="s">
        <v>2336</v>
      </c>
      <c r="C36" s="490" t="s">
        <v>2337</v>
      </c>
      <c r="D36" s="490" t="s">
        <v>16</v>
      </c>
      <c r="E36" s="490" t="s">
        <v>2338</v>
      </c>
      <c r="F36" s="490" t="s">
        <v>2339</v>
      </c>
    </row>
    <row r="37" spans="1:6">
      <c r="A37" s="359" t="s">
        <v>2524</v>
      </c>
      <c r="B37" s="518" t="s">
        <v>2525</v>
      </c>
      <c r="C37" s="348" t="s">
        <v>96</v>
      </c>
      <c r="D37" s="358">
        <v>1</v>
      </c>
      <c r="E37" s="358">
        <v>24.9</v>
      </c>
      <c r="F37" s="358">
        <f>D37*E37</f>
        <v>24.9</v>
      </c>
    </row>
    <row r="38" spans="1:6">
      <c r="A38" s="359" t="s">
        <v>2524</v>
      </c>
      <c r="B38" s="518" t="s">
        <v>2526</v>
      </c>
      <c r="C38" s="348" t="s">
        <v>96</v>
      </c>
      <c r="D38" s="358">
        <v>2</v>
      </c>
      <c r="E38" s="358">
        <v>7.09</v>
      </c>
      <c r="F38" s="358">
        <f>D38*E38</f>
        <v>14.18</v>
      </c>
    </row>
    <row r="39" spans="1:6" ht="28.5">
      <c r="A39" s="359" t="s">
        <v>2524</v>
      </c>
      <c r="B39" s="518" t="s">
        <v>2528</v>
      </c>
      <c r="C39" s="348" t="s">
        <v>96</v>
      </c>
      <c r="D39" s="358">
        <v>3</v>
      </c>
      <c r="E39" s="358">
        <v>38.9</v>
      </c>
      <c r="F39" s="358">
        <f>D39*E39</f>
        <v>116.69999999999999</v>
      </c>
    </row>
    <row r="40" spans="1:6" ht="28.5">
      <c r="A40" s="359" t="s">
        <v>2529</v>
      </c>
      <c r="B40" s="492" t="s">
        <v>1102</v>
      </c>
      <c r="C40" s="500" t="s">
        <v>40</v>
      </c>
      <c r="D40" s="358">
        <v>0.6</v>
      </c>
      <c r="E40" s="493">
        <v>22.51</v>
      </c>
      <c r="F40" s="493">
        <f>D40*E40</f>
        <v>13.506</v>
      </c>
    </row>
    <row r="41" spans="1:6" ht="28.5">
      <c r="A41" s="359" t="s">
        <v>2342</v>
      </c>
      <c r="B41" s="492" t="s">
        <v>2343</v>
      </c>
      <c r="C41" s="500" t="s">
        <v>40</v>
      </c>
      <c r="D41" s="358">
        <v>0.6</v>
      </c>
      <c r="E41" s="493">
        <v>14.33</v>
      </c>
      <c r="F41" s="493">
        <f>D41*E41</f>
        <v>8.597999999999999</v>
      </c>
    </row>
    <row r="42" spans="1:6">
      <c r="A42" s="359"/>
      <c r="B42" s="492"/>
      <c r="C42" s="500"/>
      <c r="D42" s="496"/>
      <c r="E42" s="499"/>
      <c r="F42" s="499"/>
    </row>
    <row r="43" spans="1:6" ht="15" customHeight="1">
      <c r="A43" s="1149" t="s">
        <v>1083</v>
      </c>
      <c r="B43" s="1149"/>
      <c r="C43" s="1149"/>
      <c r="D43" s="1149"/>
      <c r="E43" s="1149"/>
      <c r="F43" s="1149"/>
    </row>
    <row r="44" spans="1:6" ht="30">
      <c r="A44" s="490" t="s">
        <v>2350</v>
      </c>
      <c r="B44" s="490" t="s">
        <v>2351</v>
      </c>
      <c r="C44" s="490" t="s">
        <v>2352</v>
      </c>
      <c r="D44" s="494" t="s">
        <v>2353</v>
      </c>
      <c r="E44" s="495" t="s">
        <v>2354</v>
      </c>
      <c r="F44" s="495" t="s">
        <v>2355</v>
      </c>
    </row>
    <row r="45" spans="1:6">
      <c r="A45" s="496"/>
      <c r="B45" s="496">
        <f>SUM(F37:F39)</f>
        <v>155.77999999999997</v>
      </c>
      <c r="C45" s="496">
        <f>SUM(F40:F41)</f>
        <v>22.103999999999999</v>
      </c>
      <c r="D45" s="496"/>
      <c r="E45" s="497"/>
      <c r="F45" s="503">
        <f>SUM(A45:E45)</f>
        <v>177.88399999999996</v>
      </c>
    </row>
    <row r="46" spans="1:6">
      <c r="A46" s="239"/>
      <c r="B46" s="239"/>
      <c r="C46" s="239"/>
      <c r="D46" s="239"/>
      <c r="E46" s="239"/>
      <c r="F46" s="239"/>
    </row>
    <row r="47" spans="1:6" ht="15" customHeight="1">
      <c r="A47" s="1149" t="s">
        <v>2534</v>
      </c>
      <c r="B47" s="1149"/>
      <c r="C47" s="1149"/>
      <c r="D47" s="1149"/>
      <c r="E47" s="1149"/>
      <c r="F47" s="1149"/>
    </row>
    <row r="48" spans="1:6" ht="15" customHeight="1">
      <c r="A48" s="490" t="s">
        <v>2330</v>
      </c>
      <c r="B48" s="1149" t="s">
        <v>2331</v>
      </c>
      <c r="C48" s="1149"/>
      <c r="D48" s="1149"/>
      <c r="E48" s="1149"/>
      <c r="F48" s="490" t="s">
        <v>2332</v>
      </c>
    </row>
    <row r="49" spans="1:7" ht="27" customHeight="1">
      <c r="A49" s="348" t="s">
        <v>2535</v>
      </c>
      <c r="B49" s="1147" t="s">
        <v>2536</v>
      </c>
      <c r="C49" s="1147"/>
      <c r="D49" s="1147"/>
      <c r="E49" s="1147"/>
      <c r="F49" s="500" t="s">
        <v>246</v>
      </c>
    </row>
    <row r="50" spans="1:7" ht="15" customHeight="1">
      <c r="A50" s="1146" t="s">
        <v>2335</v>
      </c>
      <c r="B50" s="1146"/>
      <c r="C50" s="1146"/>
      <c r="D50" s="1146"/>
      <c r="E50" s="1146"/>
      <c r="F50" s="1146"/>
    </row>
    <row r="51" spans="1:7" ht="30">
      <c r="A51" s="490" t="s">
        <v>11</v>
      </c>
      <c r="B51" s="491" t="s">
        <v>2336</v>
      </c>
      <c r="C51" s="490" t="s">
        <v>2337</v>
      </c>
      <c r="D51" s="490" t="s">
        <v>16</v>
      </c>
      <c r="E51" s="490" t="s">
        <v>2338</v>
      </c>
      <c r="F51" s="490" t="s">
        <v>2339</v>
      </c>
    </row>
    <row r="52" spans="1:7" ht="42.75">
      <c r="A52" s="337" t="s">
        <v>2379</v>
      </c>
      <c r="B52" s="492" t="s">
        <v>2537</v>
      </c>
      <c r="C52" s="500" t="s">
        <v>246</v>
      </c>
      <c r="D52" s="358">
        <v>1</v>
      </c>
      <c r="E52" s="493">
        <f>4.94*3</f>
        <v>14.82</v>
      </c>
      <c r="F52" s="493">
        <f>D52*E52</f>
        <v>14.82</v>
      </c>
      <c r="G52" t="s">
        <v>2538</v>
      </c>
    </row>
    <row r="53" spans="1:7" ht="28.5">
      <c r="A53" s="359" t="s">
        <v>2529</v>
      </c>
      <c r="B53" s="492" t="s">
        <v>1102</v>
      </c>
      <c r="C53" s="500" t="s">
        <v>40</v>
      </c>
      <c r="D53" s="358">
        <v>0.31</v>
      </c>
      <c r="E53" s="493">
        <v>22.51</v>
      </c>
      <c r="F53" s="493">
        <f>D53*E53</f>
        <v>6.9781000000000004</v>
      </c>
    </row>
    <row r="54" spans="1:7" ht="28.5">
      <c r="A54" s="359" t="s">
        <v>2342</v>
      </c>
      <c r="B54" s="492" t="s">
        <v>2343</v>
      </c>
      <c r="C54" s="500" t="s">
        <v>40</v>
      </c>
      <c r="D54" s="358">
        <v>0.31</v>
      </c>
      <c r="E54" s="493">
        <v>14.33</v>
      </c>
      <c r="F54" s="493">
        <f>D54*E54</f>
        <v>4.4423000000000004</v>
      </c>
    </row>
    <row r="55" spans="1:7" ht="15" customHeight="1">
      <c r="A55" s="1150" t="s">
        <v>1083</v>
      </c>
      <c r="B55" s="1150"/>
      <c r="C55" s="1150"/>
      <c r="D55" s="1150"/>
      <c r="E55" s="1150"/>
      <c r="F55" s="1150"/>
    </row>
    <row r="56" spans="1:7" ht="30">
      <c r="A56" s="490" t="s">
        <v>2350</v>
      </c>
      <c r="B56" s="490" t="s">
        <v>2351</v>
      </c>
      <c r="C56" s="490" t="s">
        <v>2352</v>
      </c>
      <c r="D56" s="494" t="s">
        <v>2353</v>
      </c>
      <c r="E56" s="495" t="s">
        <v>2354</v>
      </c>
      <c r="F56" s="495" t="s">
        <v>2355</v>
      </c>
    </row>
    <row r="57" spans="1:7">
      <c r="A57" s="496"/>
      <c r="B57" s="496">
        <f>F52</f>
        <v>14.82</v>
      </c>
      <c r="C57" s="496">
        <f>F53+F54</f>
        <v>11.420400000000001</v>
      </c>
      <c r="D57" s="496"/>
      <c r="E57" s="497"/>
      <c r="F57" s="503">
        <f>SUM(A57:E57)</f>
        <v>26.240400000000001</v>
      </c>
    </row>
    <row r="58" spans="1:7">
      <c r="A58" s="139"/>
      <c r="B58" s="139"/>
      <c r="C58" s="139"/>
      <c r="D58" s="139"/>
      <c r="E58" s="139"/>
      <c r="F58" s="139"/>
    </row>
    <row r="59" spans="1:7" ht="15" customHeight="1">
      <c r="A59" s="1149" t="s">
        <v>2534</v>
      </c>
      <c r="B59" s="1149"/>
      <c r="C59" s="1149"/>
      <c r="D59" s="1149"/>
      <c r="E59" s="1149"/>
      <c r="F59" s="1149"/>
    </row>
    <row r="60" spans="1:7" ht="15" customHeight="1">
      <c r="A60" s="490" t="s">
        <v>2330</v>
      </c>
      <c r="B60" s="1149" t="s">
        <v>2331</v>
      </c>
      <c r="C60" s="1149"/>
      <c r="D60" s="1149"/>
      <c r="E60" s="1149"/>
      <c r="F60" s="490" t="s">
        <v>2332</v>
      </c>
    </row>
    <row r="61" spans="1:7" ht="53.25" customHeight="1">
      <c r="A61" s="348" t="s">
        <v>2539</v>
      </c>
      <c r="B61" s="1147" t="s">
        <v>2540</v>
      </c>
      <c r="C61" s="1147"/>
      <c r="D61" s="1147"/>
      <c r="E61" s="1147"/>
      <c r="F61" s="500" t="s">
        <v>2334</v>
      </c>
    </row>
    <row r="62" spans="1:7" ht="15" customHeight="1">
      <c r="A62" s="1146" t="s">
        <v>2335</v>
      </c>
      <c r="B62" s="1146"/>
      <c r="C62" s="1146"/>
      <c r="D62" s="1146"/>
      <c r="E62" s="1146"/>
      <c r="F62" s="1146"/>
    </row>
    <row r="63" spans="1:7" ht="30">
      <c r="A63" s="501" t="s">
        <v>11</v>
      </c>
      <c r="B63" s="517" t="s">
        <v>2336</v>
      </c>
      <c r="C63" s="501" t="s">
        <v>2337</v>
      </c>
      <c r="D63" s="501" t="s">
        <v>16</v>
      </c>
      <c r="E63" s="501" t="s">
        <v>2338</v>
      </c>
      <c r="F63" s="501" t="s">
        <v>2339</v>
      </c>
    </row>
    <row r="64" spans="1:7" ht="40.5" customHeight="1">
      <c r="A64" s="502" t="s">
        <v>2541</v>
      </c>
      <c r="B64" s="504" t="s">
        <v>2542</v>
      </c>
      <c r="C64" s="348" t="s">
        <v>2337</v>
      </c>
      <c r="D64" s="358">
        <v>1</v>
      </c>
      <c r="E64" s="493">
        <v>78.08</v>
      </c>
      <c r="F64" s="493">
        <f>E64*D64</f>
        <v>78.08</v>
      </c>
    </row>
    <row r="65" spans="1:6" ht="28.5">
      <c r="A65" s="359" t="s">
        <v>2529</v>
      </c>
      <c r="B65" s="492" t="s">
        <v>1102</v>
      </c>
      <c r="C65" s="500" t="s">
        <v>40</v>
      </c>
      <c r="D65" s="358">
        <v>0.5</v>
      </c>
      <c r="E65" s="493">
        <v>22.51</v>
      </c>
      <c r="F65" s="493">
        <f>D65*E65</f>
        <v>11.255000000000001</v>
      </c>
    </row>
    <row r="66" spans="1:6" ht="28.5">
      <c r="A66" s="359" t="s">
        <v>2342</v>
      </c>
      <c r="B66" s="492" t="s">
        <v>2343</v>
      </c>
      <c r="C66" s="500" t="s">
        <v>40</v>
      </c>
      <c r="D66" s="358">
        <v>0.5</v>
      </c>
      <c r="E66" s="493">
        <v>14.33</v>
      </c>
      <c r="F66" s="493">
        <f>D66*E66</f>
        <v>7.165</v>
      </c>
    </row>
    <row r="67" spans="1:6" ht="15" customHeight="1">
      <c r="A67" s="1148" t="s">
        <v>2543</v>
      </c>
      <c r="B67" s="1148"/>
      <c r="C67" s="1148"/>
      <c r="D67" s="1148"/>
      <c r="E67" s="1148"/>
      <c r="F67" s="1148"/>
    </row>
    <row r="68" spans="1:6" ht="30">
      <c r="A68" s="490" t="s">
        <v>2350</v>
      </c>
      <c r="B68" s="490" t="s">
        <v>2351</v>
      </c>
      <c r="C68" s="490" t="s">
        <v>2352</v>
      </c>
      <c r="D68" s="494" t="s">
        <v>2353</v>
      </c>
      <c r="E68" s="495" t="s">
        <v>2354</v>
      </c>
      <c r="F68" s="495" t="s">
        <v>2355</v>
      </c>
    </row>
    <row r="69" spans="1:6">
      <c r="A69" s="496"/>
      <c r="B69" s="496">
        <f>SUM(F64:F64)</f>
        <v>78.08</v>
      </c>
      <c r="C69" s="496">
        <f>SUM(F65:F66)</f>
        <v>18.420000000000002</v>
      </c>
      <c r="D69" s="496"/>
      <c r="E69" s="497"/>
      <c r="F69" s="498">
        <f>SUM(A69:E69)</f>
        <v>96.5</v>
      </c>
    </row>
    <row r="71" spans="1:6" ht="15" customHeight="1">
      <c r="A71" s="1149" t="s">
        <v>2534</v>
      </c>
      <c r="B71" s="1149"/>
      <c r="C71" s="1149"/>
      <c r="D71" s="1149"/>
      <c r="E71" s="1149"/>
      <c r="F71" s="1149"/>
    </row>
    <row r="72" spans="1:6" ht="15" customHeight="1">
      <c r="A72" s="489" t="s">
        <v>2330</v>
      </c>
      <c r="B72" s="1151" t="s">
        <v>2331</v>
      </c>
      <c r="C72" s="1151"/>
      <c r="D72" s="1151"/>
      <c r="E72" s="1151"/>
      <c r="F72" s="489" t="s">
        <v>2332</v>
      </c>
    </row>
    <row r="73" spans="1:6" ht="27" customHeight="1">
      <c r="A73" s="353" t="s">
        <v>2544</v>
      </c>
      <c r="B73" s="1152" t="s">
        <v>2545</v>
      </c>
      <c r="C73" s="1152"/>
      <c r="D73" s="1152"/>
      <c r="E73" s="1152"/>
      <c r="F73" s="505" t="s">
        <v>2334</v>
      </c>
    </row>
    <row r="74" spans="1:6" ht="15" customHeight="1">
      <c r="A74" s="1146" t="s">
        <v>2335</v>
      </c>
      <c r="B74" s="1146"/>
      <c r="C74" s="1146"/>
      <c r="D74" s="1146"/>
      <c r="E74" s="1146"/>
      <c r="F74" s="1146"/>
    </row>
    <row r="75" spans="1:6" ht="30">
      <c r="A75" s="501" t="s">
        <v>11</v>
      </c>
      <c r="B75" s="517" t="s">
        <v>2336</v>
      </c>
      <c r="C75" s="501" t="s">
        <v>2337</v>
      </c>
      <c r="D75" s="501" t="s">
        <v>16</v>
      </c>
      <c r="E75" s="501" t="s">
        <v>2338</v>
      </c>
      <c r="F75" s="501" t="s">
        <v>2339</v>
      </c>
    </row>
    <row r="76" spans="1:6" ht="28.5">
      <c r="A76" s="502" t="s">
        <v>2546</v>
      </c>
      <c r="B76" s="504" t="s">
        <v>2547</v>
      </c>
      <c r="C76" s="348" t="s">
        <v>2337</v>
      </c>
      <c r="D76" s="358">
        <v>1</v>
      </c>
      <c r="E76" s="493">
        <v>22.11</v>
      </c>
      <c r="F76" s="493">
        <f>E76*D76</f>
        <v>22.11</v>
      </c>
    </row>
    <row r="77" spans="1:6" ht="28.5">
      <c r="A77" s="502" t="s">
        <v>2529</v>
      </c>
      <c r="B77" s="357" t="s">
        <v>1102</v>
      </c>
      <c r="C77" s="348" t="s">
        <v>40</v>
      </c>
      <c r="D77" s="358">
        <v>0.08</v>
      </c>
      <c r="E77" s="493">
        <v>22.51</v>
      </c>
      <c r="F77" s="493">
        <f>E77*D77</f>
        <v>1.8008000000000002</v>
      </c>
    </row>
    <row r="78" spans="1:6" ht="28.5">
      <c r="A78" s="502" t="s">
        <v>2342</v>
      </c>
      <c r="B78" s="357" t="s">
        <v>2343</v>
      </c>
      <c r="C78" s="348" t="s">
        <v>40</v>
      </c>
      <c r="D78" s="358">
        <v>0.08</v>
      </c>
      <c r="E78" s="493">
        <v>14.33</v>
      </c>
      <c r="F78" s="493">
        <f>E78*D78</f>
        <v>1.1464000000000001</v>
      </c>
    </row>
    <row r="79" spans="1:6" ht="15" customHeight="1">
      <c r="A79" s="1148" t="s">
        <v>2543</v>
      </c>
      <c r="B79" s="1148"/>
      <c r="C79" s="1148"/>
      <c r="D79" s="1148"/>
      <c r="E79" s="1148"/>
      <c r="F79" s="1148"/>
    </row>
    <row r="80" spans="1:6" ht="30">
      <c r="A80" s="490" t="s">
        <v>2350</v>
      </c>
      <c r="B80" s="490" t="s">
        <v>2351</v>
      </c>
      <c r="C80" s="490" t="s">
        <v>2352</v>
      </c>
      <c r="D80" s="494" t="s">
        <v>2353</v>
      </c>
      <c r="E80" s="495" t="s">
        <v>2354</v>
      </c>
      <c r="F80" s="495" t="s">
        <v>2355</v>
      </c>
    </row>
    <row r="81" spans="1:6">
      <c r="A81" s="496"/>
      <c r="B81" s="496">
        <f>SUM(F76)</f>
        <v>22.11</v>
      </c>
      <c r="C81" s="496">
        <f>SUM(F77:F78)</f>
        <v>2.9472000000000005</v>
      </c>
      <c r="D81" s="496"/>
      <c r="E81" s="497"/>
      <c r="F81" s="498">
        <f>SUM(A81:E81)</f>
        <v>25.057200000000002</v>
      </c>
    </row>
    <row r="83" spans="1:6" ht="15" customHeight="1">
      <c r="A83" s="1149" t="s">
        <v>2534</v>
      </c>
      <c r="B83" s="1149"/>
      <c r="C83" s="1149"/>
      <c r="D83" s="1149"/>
      <c r="E83" s="1149"/>
      <c r="F83" s="1149"/>
    </row>
    <row r="84" spans="1:6" ht="15" customHeight="1">
      <c r="A84" s="490" t="s">
        <v>2330</v>
      </c>
      <c r="B84" s="1149" t="s">
        <v>2331</v>
      </c>
      <c r="C84" s="1149"/>
      <c r="D84" s="1149"/>
      <c r="E84" s="1149"/>
      <c r="F84" s="490" t="s">
        <v>2332</v>
      </c>
    </row>
    <row r="85" spans="1:6" ht="15" customHeight="1">
      <c r="A85" s="348" t="s">
        <v>2548</v>
      </c>
      <c r="B85" s="1147" t="s">
        <v>2549</v>
      </c>
      <c r="C85" s="1147"/>
      <c r="D85" s="1147"/>
      <c r="E85" s="1147"/>
      <c r="F85" s="500" t="s">
        <v>2334</v>
      </c>
    </row>
    <row r="86" spans="1:6" ht="15" customHeight="1">
      <c r="A86" s="1146" t="s">
        <v>2335</v>
      </c>
      <c r="B86" s="1146"/>
      <c r="C86" s="1146"/>
      <c r="D86" s="1146"/>
      <c r="E86" s="1146"/>
      <c r="F86" s="1146"/>
    </row>
    <row r="87" spans="1:6" ht="30">
      <c r="A87" s="501" t="s">
        <v>11</v>
      </c>
      <c r="B87" s="517" t="s">
        <v>2336</v>
      </c>
      <c r="C87" s="501" t="s">
        <v>2337</v>
      </c>
      <c r="D87" s="501" t="s">
        <v>16</v>
      </c>
      <c r="E87" s="501" t="s">
        <v>2338</v>
      </c>
      <c r="F87" s="501" t="s">
        <v>2339</v>
      </c>
    </row>
    <row r="88" spans="1:6" ht="28.5">
      <c r="A88" s="502" t="s">
        <v>2550</v>
      </c>
      <c r="B88" s="504" t="s">
        <v>2551</v>
      </c>
      <c r="C88" s="348" t="s">
        <v>2337</v>
      </c>
      <c r="D88" s="358">
        <v>1</v>
      </c>
      <c r="E88" s="493">
        <v>51.96</v>
      </c>
      <c r="F88" s="493">
        <f>E88*D88</f>
        <v>51.96</v>
      </c>
    </row>
    <row r="89" spans="1:6" ht="28.5">
      <c r="A89" s="502" t="s">
        <v>2529</v>
      </c>
      <c r="B89" s="357" t="s">
        <v>1102</v>
      </c>
      <c r="C89" s="348" t="s">
        <v>40</v>
      </c>
      <c r="D89" s="358">
        <v>0.2</v>
      </c>
      <c r="E89" s="493">
        <v>22.51</v>
      </c>
      <c r="F89" s="493">
        <f>E89*D89</f>
        <v>4.5020000000000007</v>
      </c>
    </row>
    <row r="90" spans="1:6" ht="28.5">
      <c r="A90" s="502" t="s">
        <v>2342</v>
      </c>
      <c r="B90" s="357" t="s">
        <v>2343</v>
      </c>
      <c r="C90" s="348" t="s">
        <v>40</v>
      </c>
      <c r="D90" s="358">
        <v>0.2</v>
      </c>
      <c r="E90" s="493">
        <v>14.33</v>
      </c>
      <c r="F90" s="493">
        <f>E90*D90</f>
        <v>2.8660000000000001</v>
      </c>
    </row>
    <row r="91" spans="1:6" ht="15" customHeight="1">
      <c r="A91" s="1148" t="s">
        <v>2543</v>
      </c>
      <c r="B91" s="1148"/>
      <c r="C91" s="1148"/>
      <c r="D91" s="1148"/>
      <c r="E91" s="1148"/>
      <c r="F91" s="1148"/>
    </row>
    <row r="92" spans="1:6" ht="30">
      <c r="A92" s="490" t="s">
        <v>2350</v>
      </c>
      <c r="B92" s="490" t="s">
        <v>2351</v>
      </c>
      <c r="C92" s="490" t="s">
        <v>2352</v>
      </c>
      <c r="D92" s="494" t="s">
        <v>2353</v>
      </c>
      <c r="E92" s="495" t="s">
        <v>2354</v>
      </c>
      <c r="F92" s="495" t="s">
        <v>2355</v>
      </c>
    </row>
    <row r="93" spans="1:6">
      <c r="A93" s="496"/>
      <c r="B93" s="496">
        <f>SUM(F88)</f>
        <v>51.96</v>
      </c>
      <c r="C93" s="496">
        <f>SUM(F89:F90)</f>
        <v>7.3680000000000003</v>
      </c>
      <c r="D93" s="496"/>
      <c r="E93" s="497"/>
      <c r="F93" s="498">
        <f>SUM(A93:E93)</f>
        <v>59.328000000000003</v>
      </c>
    </row>
    <row r="95" spans="1:6" ht="15" customHeight="1">
      <c r="A95" s="1149"/>
      <c r="B95" s="1149"/>
      <c r="C95" s="1149"/>
      <c r="D95" s="1149"/>
      <c r="E95" s="1149"/>
      <c r="F95" s="1149"/>
    </row>
    <row r="96" spans="1:6" ht="15" customHeight="1">
      <c r="A96" s="1149" t="s">
        <v>2534</v>
      </c>
      <c r="B96" s="1149"/>
      <c r="C96" s="1149"/>
      <c r="D96" s="1149"/>
      <c r="E96" s="1149"/>
      <c r="F96" s="1149"/>
    </row>
    <row r="97" spans="1:6" ht="15" customHeight="1">
      <c r="A97" s="490" t="s">
        <v>2330</v>
      </c>
      <c r="B97" s="1149" t="s">
        <v>2331</v>
      </c>
      <c r="C97" s="1149"/>
      <c r="D97" s="1149"/>
      <c r="E97" s="1149"/>
      <c r="F97" s="490" t="s">
        <v>2332</v>
      </c>
    </row>
    <row r="98" spans="1:6" ht="15" customHeight="1">
      <c r="A98" s="348" t="s">
        <v>2552</v>
      </c>
      <c r="B98" s="1147" t="s">
        <v>741</v>
      </c>
      <c r="C98" s="1147"/>
      <c r="D98" s="1147"/>
      <c r="E98" s="1147"/>
      <c r="F98" s="500" t="s">
        <v>2334</v>
      </c>
    </row>
    <row r="99" spans="1:6" ht="15" customHeight="1">
      <c r="A99" s="1146" t="s">
        <v>2335</v>
      </c>
      <c r="B99" s="1146"/>
      <c r="C99" s="1146"/>
      <c r="D99" s="1146"/>
      <c r="E99" s="1146"/>
      <c r="F99" s="1146"/>
    </row>
    <row r="100" spans="1:6" ht="30">
      <c r="A100" s="501" t="s">
        <v>11</v>
      </c>
      <c r="B100" s="517" t="s">
        <v>2336</v>
      </c>
      <c r="C100" s="501" t="s">
        <v>2337</v>
      </c>
      <c r="D100" s="501" t="s">
        <v>16</v>
      </c>
      <c r="E100" s="501" t="s">
        <v>2338</v>
      </c>
      <c r="F100" s="501" t="s">
        <v>2339</v>
      </c>
    </row>
    <row r="101" spans="1:6">
      <c r="A101" s="502" t="s">
        <v>2553</v>
      </c>
      <c r="B101" s="504" t="s">
        <v>2554</v>
      </c>
      <c r="C101" s="348" t="s">
        <v>2337</v>
      </c>
      <c r="D101" s="358">
        <v>1</v>
      </c>
      <c r="E101" s="493">
        <v>13.4</v>
      </c>
      <c r="F101" s="493">
        <f>E101*D101</f>
        <v>13.4</v>
      </c>
    </row>
    <row r="102" spans="1:6" ht="28.5">
      <c r="A102" s="502" t="s">
        <v>2529</v>
      </c>
      <c r="B102" s="357" t="s">
        <v>1102</v>
      </c>
      <c r="C102" s="348" t="s">
        <v>40</v>
      </c>
      <c r="D102" s="358">
        <v>0.15</v>
      </c>
      <c r="E102" s="493">
        <v>28.21</v>
      </c>
      <c r="F102" s="493">
        <f>E102*D102</f>
        <v>4.2314999999999996</v>
      </c>
    </row>
    <row r="103" spans="1:6" ht="28.5">
      <c r="A103" s="502" t="s">
        <v>2555</v>
      </c>
      <c r="B103" s="357" t="s">
        <v>2556</v>
      </c>
      <c r="C103" s="348" t="s">
        <v>40</v>
      </c>
      <c r="D103" s="358">
        <v>0.15</v>
      </c>
      <c r="E103" s="493">
        <v>19.190000000000001</v>
      </c>
      <c r="F103" s="493">
        <f>E103*D103</f>
        <v>2.8785000000000003</v>
      </c>
    </row>
    <row r="104" spans="1:6" ht="15" customHeight="1">
      <c r="A104" s="1148" t="s">
        <v>2543</v>
      </c>
      <c r="B104" s="1148"/>
      <c r="C104" s="1148"/>
      <c r="D104" s="1148"/>
      <c r="E104" s="1148"/>
      <c r="F104" s="1148"/>
    </row>
    <row r="105" spans="1:6" ht="30">
      <c r="A105" s="490" t="s">
        <v>2350</v>
      </c>
      <c r="B105" s="490" t="s">
        <v>2351</v>
      </c>
      <c r="C105" s="490" t="s">
        <v>2352</v>
      </c>
      <c r="D105" s="494" t="s">
        <v>2353</v>
      </c>
      <c r="E105" s="495" t="s">
        <v>2354</v>
      </c>
      <c r="F105" s="495" t="s">
        <v>2355</v>
      </c>
    </row>
    <row r="106" spans="1:6">
      <c r="A106" s="496"/>
      <c r="B106" s="496">
        <f>SUM(F101)</f>
        <v>13.4</v>
      </c>
      <c r="C106" s="496">
        <f>SUM(F102:F103)</f>
        <v>7.1099999999999994</v>
      </c>
      <c r="D106" s="496"/>
      <c r="E106" s="497"/>
      <c r="F106" s="498">
        <f>SUM(A106:E106)</f>
        <v>20.509999999999998</v>
      </c>
    </row>
    <row r="108" spans="1:6" ht="15" customHeight="1">
      <c r="A108" s="490" t="s">
        <v>2330</v>
      </c>
      <c r="B108" s="1149" t="s">
        <v>2331</v>
      </c>
      <c r="C108" s="1149"/>
      <c r="D108" s="1149"/>
      <c r="E108" s="1149"/>
      <c r="F108" s="490" t="s">
        <v>2332</v>
      </c>
    </row>
    <row r="109" spans="1:6" ht="33" customHeight="1">
      <c r="A109" s="348" t="s">
        <v>2557</v>
      </c>
      <c r="B109" s="1147" t="s">
        <v>2558</v>
      </c>
      <c r="C109" s="1147"/>
      <c r="D109" s="1147"/>
      <c r="E109" s="1147"/>
      <c r="F109" s="500" t="s">
        <v>2334</v>
      </c>
    </row>
    <row r="110" spans="1:6" ht="15" customHeight="1">
      <c r="A110" s="1146" t="s">
        <v>2335</v>
      </c>
      <c r="B110" s="1146"/>
      <c r="C110" s="1146"/>
      <c r="D110" s="1146"/>
      <c r="E110" s="1146"/>
      <c r="F110" s="1146"/>
    </row>
    <row r="111" spans="1:6" ht="30">
      <c r="A111" s="501" t="s">
        <v>11</v>
      </c>
      <c r="B111" s="517" t="s">
        <v>2336</v>
      </c>
      <c r="C111" s="501" t="s">
        <v>2337</v>
      </c>
      <c r="D111" s="501" t="s">
        <v>16</v>
      </c>
      <c r="E111" s="501" t="s">
        <v>2338</v>
      </c>
      <c r="F111" s="501" t="s">
        <v>2339</v>
      </c>
    </row>
    <row r="112" spans="1:6" ht="28.5">
      <c r="A112" s="502" t="s">
        <v>2559</v>
      </c>
      <c r="B112" s="504" t="s">
        <v>2558</v>
      </c>
      <c r="C112" s="348" t="s">
        <v>2337</v>
      </c>
      <c r="D112" s="358">
        <v>1</v>
      </c>
      <c r="E112" s="493">
        <v>3.37</v>
      </c>
      <c r="F112" s="493">
        <f>E112*D112</f>
        <v>3.37</v>
      </c>
    </row>
    <row r="113" spans="1:6" ht="28.5">
      <c r="A113" s="502" t="s">
        <v>2342</v>
      </c>
      <c r="B113" s="357" t="s">
        <v>2343</v>
      </c>
      <c r="C113" s="348" t="s">
        <v>40</v>
      </c>
      <c r="D113" s="358">
        <v>0.08</v>
      </c>
      <c r="E113" s="493">
        <v>14.33</v>
      </c>
      <c r="F113" s="493">
        <f>E113*D113</f>
        <v>1.1464000000000001</v>
      </c>
    </row>
    <row r="114" spans="1:6" ht="15" customHeight="1">
      <c r="A114" s="1148" t="s">
        <v>2543</v>
      </c>
      <c r="B114" s="1148"/>
      <c r="C114" s="1148"/>
      <c r="D114" s="1148"/>
      <c r="E114" s="1148"/>
      <c r="F114" s="1148"/>
    </row>
    <row r="115" spans="1:6" ht="30">
      <c r="A115" s="490" t="s">
        <v>2350</v>
      </c>
      <c r="B115" s="490" t="s">
        <v>2351</v>
      </c>
      <c r="C115" s="490" t="s">
        <v>2352</v>
      </c>
      <c r="D115" s="494" t="s">
        <v>2353</v>
      </c>
      <c r="E115" s="495" t="s">
        <v>2354</v>
      </c>
      <c r="F115" s="495" t="s">
        <v>2355</v>
      </c>
    </row>
    <row r="116" spans="1:6">
      <c r="A116" s="496"/>
      <c r="B116" s="496">
        <f>SUM(F112)</f>
        <v>3.37</v>
      </c>
      <c r="C116" s="496">
        <f>SUM(F113:F113)</f>
        <v>1.1464000000000001</v>
      </c>
      <c r="D116" s="496"/>
      <c r="E116" s="497"/>
      <c r="F116" s="498">
        <f>SUM(A116:E116)</f>
        <v>4.5164</v>
      </c>
    </row>
    <row r="118" spans="1:6" ht="15" customHeight="1">
      <c r="A118" s="490" t="s">
        <v>2330</v>
      </c>
      <c r="B118" s="1149" t="s">
        <v>2331</v>
      </c>
      <c r="C118" s="1149"/>
      <c r="D118" s="1149"/>
      <c r="E118" s="1149"/>
      <c r="F118" s="490" t="s">
        <v>2332</v>
      </c>
    </row>
    <row r="119" spans="1:6" ht="38.25" customHeight="1">
      <c r="A119" s="348" t="s">
        <v>2560</v>
      </c>
      <c r="B119" s="504" t="s">
        <v>2561</v>
      </c>
      <c r="C119" s="504"/>
      <c r="D119" s="504"/>
      <c r="E119" s="504"/>
      <c r="F119" s="500" t="s">
        <v>246</v>
      </c>
    </row>
    <row r="120" spans="1:6" ht="15" customHeight="1">
      <c r="A120" s="1146" t="s">
        <v>2335</v>
      </c>
      <c r="B120" s="1146"/>
      <c r="C120" s="1146"/>
      <c r="D120" s="1146"/>
      <c r="E120" s="1146"/>
      <c r="F120" s="1146"/>
    </row>
    <row r="121" spans="1:6" ht="30">
      <c r="A121" s="490" t="s">
        <v>11</v>
      </c>
      <c r="B121" s="491" t="s">
        <v>2336</v>
      </c>
      <c r="C121" s="490" t="s">
        <v>2337</v>
      </c>
      <c r="D121" s="490" t="s">
        <v>16</v>
      </c>
      <c r="E121" s="490" t="s">
        <v>2338</v>
      </c>
      <c r="F121" s="490" t="s">
        <v>2562</v>
      </c>
    </row>
    <row r="122" spans="1:6" ht="28.5">
      <c r="A122" s="348" t="s">
        <v>2563</v>
      </c>
      <c r="B122" s="504" t="s">
        <v>2561</v>
      </c>
      <c r="C122" s="348" t="s">
        <v>246</v>
      </c>
      <c r="D122" s="358">
        <v>1</v>
      </c>
      <c r="E122" s="358">
        <v>6.9</v>
      </c>
      <c r="F122" s="493">
        <f>D122*E122</f>
        <v>6.9</v>
      </c>
    </row>
    <row r="123" spans="1:6" ht="28.5">
      <c r="A123" s="502" t="s">
        <v>2529</v>
      </c>
      <c r="B123" s="357" t="s">
        <v>1102</v>
      </c>
      <c r="C123" s="348" t="s">
        <v>40</v>
      </c>
      <c r="D123" s="358">
        <v>0.3</v>
      </c>
      <c r="E123" s="493">
        <v>22.51</v>
      </c>
      <c r="F123" s="493">
        <f>E123*D123</f>
        <v>6.7530000000000001</v>
      </c>
    </row>
    <row r="124" spans="1:6" ht="28.5">
      <c r="A124" s="502" t="s">
        <v>2342</v>
      </c>
      <c r="B124" s="357" t="s">
        <v>2343</v>
      </c>
      <c r="C124" s="348" t="s">
        <v>40</v>
      </c>
      <c r="D124" s="358">
        <v>0.3</v>
      </c>
      <c r="E124" s="493">
        <v>14.33</v>
      </c>
      <c r="F124" s="493">
        <f>E124*D124</f>
        <v>4.2989999999999995</v>
      </c>
    </row>
    <row r="125" spans="1:6" ht="15" customHeight="1">
      <c r="A125" s="1148" t="s">
        <v>2543</v>
      </c>
      <c r="B125" s="1148"/>
      <c r="C125" s="1148"/>
      <c r="D125" s="1148"/>
      <c r="E125" s="1148"/>
      <c r="F125" s="1148"/>
    </row>
    <row r="126" spans="1:6" ht="30">
      <c r="A126" s="490" t="s">
        <v>2350</v>
      </c>
      <c r="B126" s="490" t="s">
        <v>2351</v>
      </c>
      <c r="C126" s="490" t="s">
        <v>2352</v>
      </c>
      <c r="D126" s="494" t="s">
        <v>2353</v>
      </c>
      <c r="E126" s="495" t="s">
        <v>2354</v>
      </c>
      <c r="F126" s="495" t="s">
        <v>2355</v>
      </c>
    </row>
    <row r="127" spans="1:6">
      <c r="A127" s="496"/>
      <c r="B127" s="496">
        <f>F122</f>
        <v>6.9</v>
      </c>
      <c r="C127" s="496">
        <f>SUM(F123:F124)</f>
        <v>11.052</v>
      </c>
      <c r="D127" s="496"/>
      <c r="E127" s="497"/>
      <c r="F127" s="498">
        <f>SUM(A127:E127)</f>
        <v>17.951999999999998</v>
      </c>
    </row>
    <row r="129" spans="1:6" ht="15" customHeight="1">
      <c r="A129" s="490" t="s">
        <v>2330</v>
      </c>
      <c r="B129" s="1149" t="s">
        <v>2331</v>
      </c>
      <c r="C129" s="1149"/>
      <c r="D129" s="1149"/>
      <c r="E129" s="1149"/>
      <c r="F129" s="490" t="s">
        <v>2332</v>
      </c>
    </row>
    <row r="130" spans="1:6" ht="28.5">
      <c r="A130" s="348" t="s">
        <v>2564</v>
      </c>
      <c r="B130" s="504" t="s">
        <v>2565</v>
      </c>
      <c r="C130" s="504"/>
      <c r="D130" s="504"/>
      <c r="E130" s="504"/>
      <c r="F130" s="500" t="s">
        <v>246</v>
      </c>
    </row>
    <row r="131" spans="1:6" ht="15" customHeight="1">
      <c r="A131" s="1146" t="s">
        <v>2335</v>
      </c>
      <c r="B131" s="1146"/>
      <c r="C131" s="1146"/>
      <c r="D131" s="1146"/>
      <c r="E131" s="1146"/>
      <c r="F131" s="1146"/>
    </row>
    <row r="132" spans="1:6" ht="30">
      <c r="A132" s="490" t="s">
        <v>11</v>
      </c>
      <c r="B132" s="491" t="s">
        <v>2336</v>
      </c>
      <c r="C132" s="490" t="s">
        <v>2337</v>
      </c>
      <c r="D132" s="490" t="s">
        <v>16</v>
      </c>
      <c r="E132" s="490" t="s">
        <v>2338</v>
      </c>
      <c r="F132" s="490" t="s">
        <v>2562</v>
      </c>
    </row>
    <row r="133" spans="1:6" ht="28.5">
      <c r="A133" s="348" t="s">
        <v>2566</v>
      </c>
      <c r="B133" s="504" t="s">
        <v>2565</v>
      </c>
      <c r="C133" s="348" t="s">
        <v>246</v>
      </c>
      <c r="D133" s="358">
        <v>1</v>
      </c>
      <c r="E133" s="358">
        <v>7.27</v>
      </c>
      <c r="F133" s="493">
        <f>D133*E133</f>
        <v>7.27</v>
      </c>
    </row>
    <row r="134" spans="1:6" ht="28.5">
      <c r="A134" s="502" t="s">
        <v>2529</v>
      </c>
      <c r="B134" s="357" t="s">
        <v>1102</v>
      </c>
      <c r="C134" s="348" t="s">
        <v>40</v>
      </c>
      <c r="D134" s="358">
        <v>0.3</v>
      </c>
      <c r="E134" s="493">
        <v>22.51</v>
      </c>
      <c r="F134" s="493">
        <f>E134*D134</f>
        <v>6.7530000000000001</v>
      </c>
    </row>
    <row r="135" spans="1:6" ht="28.5">
      <c r="A135" s="502" t="s">
        <v>2342</v>
      </c>
      <c r="B135" s="357" t="s">
        <v>2343</v>
      </c>
      <c r="C135" s="348" t="s">
        <v>40</v>
      </c>
      <c r="D135" s="358">
        <v>0.3</v>
      </c>
      <c r="E135" s="493">
        <v>14.33</v>
      </c>
      <c r="F135" s="493">
        <f>E135*D135</f>
        <v>4.2989999999999995</v>
      </c>
    </row>
    <row r="136" spans="1:6" ht="15" customHeight="1">
      <c r="A136" s="1148" t="s">
        <v>2543</v>
      </c>
      <c r="B136" s="1148"/>
      <c r="C136" s="1148"/>
      <c r="D136" s="1148"/>
      <c r="E136" s="1148"/>
      <c r="F136" s="1148"/>
    </row>
    <row r="137" spans="1:6" ht="30">
      <c r="A137" s="490" t="s">
        <v>2350</v>
      </c>
      <c r="B137" s="490" t="s">
        <v>2351</v>
      </c>
      <c r="C137" s="490" t="s">
        <v>2352</v>
      </c>
      <c r="D137" s="494" t="s">
        <v>2353</v>
      </c>
      <c r="E137" s="495" t="s">
        <v>2354</v>
      </c>
      <c r="F137" s="495" t="s">
        <v>2355</v>
      </c>
    </row>
    <row r="138" spans="1:6">
      <c r="A138" s="496"/>
      <c r="B138" s="496">
        <f>F133</f>
        <v>7.27</v>
      </c>
      <c r="C138" s="496">
        <f>SUM(F134:F135)</f>
        <v>11.052</v>
      </c>
      <c r="D138" s="496"/>
      <c r="E138" s="497"/>
      <c r="F138" s="498">
        <f>SUM(A138:E138)</f>
        <v>18.321999999999999</v>
      </c>
    </row>
    <row r="140" spans="1:6" ht="15" customHeight="1">
      <c r="A140" s="490" t="s">
        <v>2330</v>
      </c>
      <c r="B140" s="1149" t="s">
        <v>2331</v>
      </c>
      <c r="C140" s="1149"/>
      <c r="D140" s="1149"/>
      <c r="E140" s="1149"/>
      <c r="F140" s="490" t="s">
        <v>2332</v>
      </c>
    </row>
    <row r="141" spans="1:6" ht="28.5">
      <c r="A141" s="348" t="s">
        <v>2567</v>
      </c>
      <c r="B141" s="504" t="s">
        <v>2568</v>
      </c>
      <c r="C141" s="504"/>
      <c r="D141" s="504"/>
      <c r="E141" s="504"/>
      <c r="F141" s="500" t="s">
        <v>246</v>
      </c>
    </row>
    <row r="142" spans="1:6" ht="15" customHeight="1">
      <c r="A142" s="1146" t="s">
        <v>2335</v>
      </c>
      <c r="B142" s="1146"/>
      <c r="C142" s="1146"/>
      <c r="D142" s="1146"/>
      <c r="E142" s="1146"/>
      <c r="F142" s="1146"/>
    </row>
    <row r="143" spans="1:6" ht="30">
      <c r="A143" s="490" t="s">
        <v>11</v>
      </c>
      <c r="B143" s="491" t="s">
        <v>2336</v>
      </c>
      <c r="C143" s="490" t="s">
        <v>2337</v>
      </c>
      <c r="D143" s="490" t="s">
        <v>16</v>
      </c>
      <c r="E143" s="490" t="s">
        <v>2338</v>
      </c>
      <c r="F143" s="490" t="s">
        <v>2562</v>
      </c>
    </row>
    <row r="144" spans="1:6" ht="28.5">
      <c r="A144" s="348" t="s">
        <v>2569</v>
      </c>
      <c r="B144" s="504" t="s">
        <v>2568</v>
      </c>
      <c r="C144" s="348" t="s">
        <v>246</v>
      </c>
      <c r="D144" s="358">
        <v>1</v>
      </c>
      <c r="E144" s="358">
        <v>4.99</v>
      </c>
      <c r="F144" s="493">
        <f>D144*E144</f>
        <v>4.99</v>
      </c>
    </row>
    <row r="145" spans="1:6" ht="28.5">
      <c r="A145" s="502" t="s">
        <v>2529</v>
      </c>
      <c r="B145" s="357" t="s">
        <v>1102</v>
      </c>
      <c r="C145" s="348" t="s">
        <v>40</v>
      </c>
      <c r="D145" s="358">
        <v>0.3</v>
      </c>
      <c r="E145" s="493">
        <v>22.51</v>
      </c>
      <c r="F145" s="493">
        <f>E145*D145</f>
        <v>6.7530000000000001</v>
      </c>
    </row>
    <row r="146" spans="1:6" ht="28.5">
      <c r="A146" s="502" t="s">
        <v>2342</v>
      </c>
      <c r="B146" s="357" t="s">
        <v>2343</v>
      </c>
      <c r="C146" s="348" t="s">
        <v>40</v>
      </c>
      <c r="D146" s="358">
        <v>0.3</v>
      </c>
      <c r="E146" s="493">
        <v>14.33</v>
      </c>
      <c r="F146" s="493">
        <f>E146*D146</f>
        <v>4.2989999999999995</v>
      </c>
    </row>
    <row r="147" spans="1:6" ht="15" customHeight="1">
      <c r="A147" s="1148" t="s">
        <v>2543</v>
      </c>
      <c r="B147" s="1148"/>
      <c r="C147" s="1148"/>
      <c r="D147" s="1148"/>
      <c r="E147" s="1148"/>
      <c r="F147" s="1148"/>
    </row>
    <row r="148" spans="1:6" ht="30">
      <c r="A148" s="490" t="s">
        <v>2350</v>
      </c>
      <c r="B148" s="490" t="s">
        <v>2351</v>
      </c>
      <c r="C148" s="490" t="s">
        <v>2352</v>
      </c>
      <c r="D148" s="494" t="s">
        <v>2353</v>
      </c>
      <c r="E148" s="495" t="s">
        <v>2354</v>
      </c>
      <c r="F148" s="495" t="s">
        <v>2355</v>
      </c>
    </row>
    <row r="149" spans="1:6">
      <c r="A149" s="496"/>
      <c r="B149" s="496">
        <f>F144</f>
        <v>4.99</v>
      </c>
      <c r="C149" s="496">
        <f>SUM(F145:F146)</f>
        <v>11.052</v>
      </c>
      <c r="D149" s="496"/>
      <c r="E149" s="497"/>
      <c r="F149" s="498">
        <f>SUM(A149:E149)</f>
        <v>16.042000000000002</v>
      </c>
    </row>
    <row r="151" spans="1:6" ht="15" customHeight="1">
      <c r="A151" s="490" t="s">
        <v>2330</v>
      </c>
      <c r="B151" s="1149" t="s">
        <v>2331</v>
      </c>
      <c r="C151" s="1149"/>
      <c r="D151" s="1149"/>
      <c r="E151" s="1149"/>
      <c r="F151" s="490" t="s">
        <v>2332</v>
      </c>
    </row>
    <row r="152" spans="1:6" ht="42.75">
      <c r="A152" s="348" t="s">
        <v>2570</v>
      </c>
      <c r="B152" s="504" t="s">
        <v>2571</v>
      </c>
      <c r="C152" s="504"/>
      <c r="D152" s="504"/>
      <c r="E152" s="504"/>
      <c r="F152" s="500" t="s">
        <v>246</v>
      </c>
    </row>
    <row r="153" spans="1:6" ht="15" customHeight="1">
      <c r="A153" s="1146" t="s">
        <v>2335</v>
      </c>
      <c r="B153" s="1146"/>
      <c r="C153" s="1146"/>
      <c r="D153" s="1146"/>
      <c r="E153" s="1146"/>
      <c r="F153" s="1146"/>
    </row>
    <row r="154" spans="1:6" ht="30">
      <c r="A154" s="490" t="s">
        <v>11</v>
      </c>
      <c r="B154" s="491" t="s">
        <v>2336</v>
      </c>
      <c r="C154" s="490" t="s">
        <v>2337</v>
      </c>
      <c r="D154" s="490" t="s">
        <v>16</v>
      </c>
      <c r="E154" s="490" t="s">
        <v>2338</v>
      </c>
      <c r="F154" s="490" t="s">
        <v>2562</v>
      </c>
    </row>
    <row r="155" spans="1:6" ht="42.75">
      <c r="A155" s="348" t="s">
        <v>2572</v>
      </c>
      <c r="B155" s="504" t="s">
        <v>2571</v>
      </c>
      <c r="C155" s="348" t="s">
        <v>246</v>
      </c>
      <c r="D155" s="358">
        <v>1</v>
      </c>
      <c r="E155" s="358">
        <v>2.0099999999999998</v>
      </c>
      <c r="F155" s="493">
        <f>D155*E155</f>
        <v>2.0099999999999998</v>
      </c>
    </row>
    <row r="156" spans="1:6" ht="28.5">
      <c r="A156" s="502" t="s">
        <v>2529</v>
      </c>
      <c r="B156" s="357" t="s">
        <v>1102</v>
      </c>
      <c r="C156" s="348" t="s">
        <v>40</v>
      </c>
      <c r="D156" s="358">
        <v>0.3</v>
      </c>
      <c r="E156" s="493">
        <v>22.51</v>
      </c>
      <c r="F156" s="493">
        <f>E156*D156</f>
        <v>6.7530000000000001</v>
      </c>
    </row>
    <row r="157" spans="1:6" ht="28.5">
      <c r="A157" s="502" t="s">
        <v>2342</v>
      </c>
      <c r="B157" s="357" t="s">
        <v>2343</v>
      </c>
      <c r="C157" s="348" t="s">
        <v>40</v>
      </c>
      <c r="D157" s="358">
        <v>0.3</v>
      </c>
      <c r="E157" s="493">
        <v>14.33</v>
      </c>
      <c r="F157" s="493">
        <f>E157*D157</f>
        <v>4.2989999999999995</v>
      </c>
    </row>
    <row r="158" spans="1:6" ht="15" customHeight="1">
      <c r="A158" s="1148" t="s">
        <v>2543</v>
      </c>
      <c r="B158" s="1148"/>
      <c r="C158" s="1148"/>
      <c r="D158" s="1148"/>
      <c r="E158" s="1148"/>
      <c r="F158" s="1148"/>
    </row>
    <row r="159" spans="1:6" ht="30">
      <c r="A159" s="490" t="s">
        <v>2350</v>
      </c>
      <c r="B159" s="490" t="s">
        <v>2351</v>
      </c>
      <c r="C159" s="490" t="s">
        <v>2352</v>
      </c>
      <c r="D159" s="494" t="s">
        <v>2353</v>
      </c>
      <c r="E159" s="495" t="s">
        <v>2354</v>
      </c>
      <c r="F159" s="495" t="s">
        <v>2355</v>
      </c>
    </row>
    <row r="160" spans="1:6">
      <c r="A160" s="496"/>
      <c r="B160" s="496">
        <f>F155</f>
        <v>2.0099999999999998</v>
      </c>
      <c r="C160" s="496">
        <f>SUM(F156:F157)</f>
        <v>11.052</v>
      </c>
      <c r="D160" s="496"/>
      <c r="E160" s="497"/>
      <c r="F160" s="498">
        <f>SUM(A160:E160)</f>
        <v>13.061999999999999</v>
      </c>
    </row>
    <row r="162" spans="1:6" ht="15" customHeight="1">
      <c r="A162" s="490" t="s">
        <v>2330</v>
      </c>
      <c r="B162" s="1149" t="s">
        <v>2331</v>
      </c>
      <c r="C162" s="1149"/>
      <c r="D162" s="1149"/>
      <c r="E162" s="1149"/>
      <c r="F162" s="490" t="s">
        <v>2332</v>
      </c>
    </row>
    <row r="163" spans="1:6" ht="42.75">
      <c r="A163" s="348" t="s">
        <v>2573</v>
      </c>
      <c r="B163" s="504" t="s">
        <v>1218</v>
      </c>
      <c r="C163" s="504"/>
      <c r="D163" s="504"/>
      <c r="E163" s="504"/>
      <c r="F163" s="500" t="s">
        <v>246</v>
      </c>
    </row>
    <row r="164" spans="1:6" ht="15" customHeight="1">
      <c r="A164" s="1146" t="s">
        <v>2335</v>
      </c>
      <c r="B164" s="1146"/>
      <c r="C164" s="1146"/>
      <c r="D164" s="1146"/>
      <c r="E164" s="1146"/>
      <c r="F164" s="1146"/>
    </row>
    <row r="165" spans="1:6" ht="30">
      <c r="A165" s="490" t="s">
        <v>11</v>
      </c>
      <c r="B165" s="491" t="s">
        <v>2336</v>
      </c>
      <c r="C165" s="490" t="s">
        <v>2337</v>
      </c>
      <c r="D165" s="490" t="s">
        <v>16</v>
      </c>
      <c r="E165" s="490" t="s">
        <v>2338</v>
      </c>
      <c r="F165" s="490" t="s">
        <v>2562</v>
      </c>
    </row>
    <row r="166" spans="1:6" ht="42.75">
      <c r="A166" s="348" t="s">
        <v>2574</v>
      </c>
      <c r="B166" s="504" t="s">
        <v>1218</v>
      </c>
      <c r="C166" s="348" t="s">
        <v>246</v>
      </c>
      <c r="D166" s="358">
        <v>1</v>
      </c>
      <c r="E166" s="358">
        <v>3.88</v>
      </c>
      <c r="F166" s="493">
        <f>D166*E166</f>
        <v>3.88</v>
      </c>
    </row>
    <row r="167" spans="1:6" ht="28.5">
      <c r="A167" s="502" t="s">
        <v>2529</v>
      </c>
      <c r="B167" s="357" t="s">
        <v>1102</v>
      </c>
      <c r="C167" s="348" t="s">
        <v>40</v>
      </c>
      <c r="D167" s="358">
        <v>0.3</v>
      </c>
      <c r="E167" s="493">
        <v>22.51</v>
      </c>
      <c r="F167" s="493">
        <f>E167*D167</f>
        <v>6.7530000000000001</v>
      </c>
    </row>
    <row r="168" spans="1:6" ht="28.5">
      <c r="A168" s="502" t="s">
        <v>2342</v>
      </c>
      <c r="B168" s="357" t="s">
        <v>2343</v>
      </c>
      <c r="C168" s="348" t="s">
        <v>40</v>
      </c>
      <c r="D168" s="358">
        <v>0.3</v>
      </c>
      <c r="E168" s="493">
        <v>14.33</v>
      </c>
      <c r="F168" s="493">
        <f>E168*D168</f>
        <v>4.2989999999999995</v>
      </c>
    </row>
    <row r="169" spans="1:6" ht="15" customHeight="1">
      <c r="A169" s="1148" t="s">
        <v>2543</v>
      </c>
      <c r="B169" s="1148"/>
      <c r="C169" s="1148"/>
      <c r="D169" s="1148"/>
      <c r="E169" s="1148"/>
      <c r="F169" s="1148"/>
    </row>
    <row r="170" spans="1:6" ht="30">
      <c r="A170" s="490" t="s">
        <v>2350</v>
      </c>
      <c r="B170" s="490" t="s">
        <v>2351</v>
      </c>
      <c r="C170" s="490" t="s">
        <v>2352</v>
      </c>
      <c r="D170" s="494" t="s">
        <v>2353</v>
      </c>
      <c r="E170" s="495" t="s">
        <v>2354</v>
      </c>
      <c r="F170" s="495" t="s">
        <v>2355</v>
      </c>
    </row>
    <row r="171" spans="1:6">
      <c r="A171" s="496"/>
      <c r="B171" s="496">
        <f>F166</f>
        <v>3.88</v>
      </c>
      <c r="C171" s="496">
        <f>SUM(F167:F168)</f>
        <v>11.052</v>
      </c>
      <c r="D171" s="496"/>
      <c r="E171" s="497"/>
      <c r="F171" s="498">
        <f>SUM(A171:E171)</f>
        <v>14.931999999999999</v>
      </c>
    </row>
    <row r="173" spans="1:6" ht="15" customHeight="1">
      <c r="A173" s="490" t="s">
        <v>2330</v>
      </c>
      <c r="B173" s="1149" t="s">
        <v>2331</v>
      </c>
      <c r="C173" s="1149"/>
      <c r="D173" s="1149"/>
      <c r="E173" s="1149"/>
      <c r="F173" s="490" t="s">
        <v>2332</v>
      </c>
    </row>
    <row r="174" spans="1:6" ht="42.75">
      <c r="A174" s="348" t="s">
        <v>2575</v>
      </c>
      <c r="B174" s="504" t="s">
        <v>2576</v>
      </c>
      <c r="C174" s="504"/>
      <c r="D174" s="504"/>
      <c r="E174" s="504"/>
      <c r="F174" s="500" t="s">
        <v>246</v>
      </c>
    </row>
    <row r="175" spans="1:6" ht="15" customHeight="1">
      <c r="A175" s="1146" t="s">
        <v>2335</v>
      </c>
      <c r="B175" s="1146"/>
      <c r="C175" s="1146"/>
      <c r="D175" s="1146"/>
      <c r="E175" s="1146"/>
      <c r="F175" s="1146"/>
    </row>
    <row r="176" spans="1:6" ht="30">
      <c r="A176" s="490" t="s">
        <v>11</v>
      </c>
      <c r="B176" s="491" t="s">
        <v>2336</v>
      </c>
      <c r="C176" s="490" t="s">
        <v>2337</v>
      </c>
      <c r="D176" s="490" t="s">
        <v>16</v>
      </c>
      <c r="E176" s="490" t="s">
        <v>2338</v>
      </c>
      <c r="F176" s="490" t="s">
        <v>2562</v>
      </c>
    </row>
    <row r="177" spans="1:6" ht="42.75">
      <c r="A177" s="348" t="s">
        <v>2577</v>
      </c>
      <c r="B177" s="504" t="s">
        <v>2576</v>
      </c>
      <c r="C177" s="348" t="s">
        <v>246</v>
      </c>
      <c r="D177" s="358">
        <v>1</v>
      </c>
      <c r="E177" s="358">
        <v>5.19</v>
      </c>
      <c r="F177" s="493">
        <f>D177*E177</f>
        <v>5.19</v>
      </c>
    </row>
    <row r="178" spans="1:6" ht="28.5">
      <c r="A178" s="502" t="s">
        <v>2529</v>
      </c>
      <c r="B178" s="357" t="s">
        <v>1102</v>
      </c>
      <c r="C178" s="348" t="s">
        <v>40</v>
      </c>
      <c r="D178" s="358">
        <v>0.3</v>
      </c>
      <c r="E178" s="493">
        <v>22.51</v>
      </c>
      <c r="F178" s="493">
        <f>E178*D178</f>
        <v>6.7530000000000001</v>
      </c>
    </row>
    <row r="179" spans="1:6" ht="28.5">
      <c r="A179" s="502" t="s">
        <v>2342</v>
      </c>
      <c r="B179" s="357" t="s">
        <v>2343</v>
      </c>
      <c r="C179" s="348" t="s">
        <v>40</v>
      </c>
      <c r="D179" s="358">
        <v>0.3</v>
      </c>
      <c r="E179" s="493">
        <v>14.33</v>
      </c>
      <c r="F179" s="493">
        <f>E179*D179</f>
        <v>4.2989999999999995</v>
      </c>
    </row>
    <row r="180" spans="1:6" ht="15" customHeight="1">
      <c r="A180" s="1148" t="s">
        <v>2543</v>
      </c>
      <c r="B180" s="1148"/>
      <c r="C180" s="1148"/>
      <c r="D180" s="1148"/>
      <c r="E180" s="1148"/>
      <c r="F180" s="1148"/>
    </row>
    <row r="181" spans="1:6" ht="30">
      <c r="A181" s="490" t="s">
        <v>2350</v>
      </c>
      <c r="B181" s="490" t="s">
        <v>2351</v>
      </c>
      <c r="C181" s="490" t="s">
        <v>2352</v>
      </c>
      <c r="D181" s="494" t="s">
        <v>2353</v>
      </c>
      <c r="E181" s="495" t="s">
        <v>2354</v>
      </c>
      <c r="F181" s="495" t="s">
        <v>2355</v>
      </c>
    </row>
    <row r="182" spans="1:6">
      <c r="A182" s="496"/>
      <c r="B182" s="496">
        <f>F177</f>
        <v>5.19</v>
      </c>
      <c r="C182" s="496">
        <f>SUM(F178:F179)</f>
        <v>11.052</v>
      </c>
      <c r="D182" s="496"/>
      <c r="E182" s="497"/>
      <c r="F182" s="498">
        <f>SUM(A182:E182)</f>
        <v>16.242000000000001</v>
      </c>
    </row>
    <row r="183" spans="1:6">
      <c r="A183" s="235"/>
      <c r="B183" s="235"/>
      <c r="C183" s="235"/>
      <c r="D183" s="235"/>
      <c r="E183" s="236"/>
      <c r="F183" s="240"/>
    </row>
    <row r="184" spans="1:6" ht="15" customHeight="1">
      <c r="A184" s="1149"/>
      <c r="B184" s="1149"/>
      <c r="C184" s="1149"/>
      <c r="D184" s="1149"/>
      <c r="E184" s="1149"/>
      <c r="F184" s="1149"/>
    </row>
    <row r="185" spans="1:6" ht="15" customHeight="1">
      <c r="A185" s="490" t="s">
        <v>2330</v>
      </c>
      <c r="B185" s="1149" t="s">
        <v>2331</v>
      </c>
      <c r="C185" s="1149"/>
      <c r="D185" s="1149"/>
      <c r="E185" s="1149"/>
      <c r="F185" s="490" t="s">
        <v>2332</v>
      </c>
    </row>
    <row r="186" spans="1:6" ht="15" customHeight="1">
      <c r="A186" s="348" t="s">
        <v>2578</v>
      </c>
      <c r="B186" s="1147" t="s">
        <v>714</v>
      </c>
      <c r="C186" s="1147"/>
      <c r="D186" s="1147"/>
      <c r="E186" s="1147"/>
      <c r="F186" s="500" t="s">
        <v>246</v>
      </c>
    </row>
    <row r="187" spans="1:6" ht="15" customHeight="1">
      <c r="A187" s="1146" t="s">
        <v>2335</v>
      </c>
      <c r="B187" s="1146"/>
      <c r="C187" s="1146"/>
      <c r="D187" s="1146"/>
      <c r="E187" s="1146"/>
      <c r="F187" s="1146"/>
    </row>
    <row r="188" spans="1:6" ht="30">
      <c r="A188" s="490" t="s">
        <v>11</v>
      </c>
      <c r="B188" s="491" t="s">
        <v>2336</v>
      </c>
      <c r="C188" s="490" t="s">
        <v>2337</v>
      </c>
      <c r="D188" s="490" t="s">
        <v>16</v>
      </c>
      <c r="E188" s="490" t="s">
        <v>2338</v>
      </c>
      <c r="F188" s="490" t="s">
        <v>2339</v>
      </c>
    </row>
    <row r="189" spans="1:6">
      <c r="A189" s="337" t="s">
        <v>2579</v>
      </c>
      <c r="B189" s="492" t="s">
        <v>2580</v>
      </c>
      <c r="C189" s="500" t="s">
        <v>170</v>
      </c>
      <c r="D189" s="358">
        <f>1/0.406</f>
        <v>2.4630541871921179</v>
      </c>
      <c r="E189" s="493">
        <v>11.72</v>
      </c>
      <c r="F189" s="493">
        <f>D189*E189</f>
        <v>28.866995073891623</v>
      </c>
    </row>
    <row r="190" spans="1:6" ht="28.5">
      <c r="A190" s="502" t="s">
        <v>2529</v>
      </c>
      <c r="B190" s="357" t="s">
        <v>1102</v>
      </c>
      <c r="C190" s="348" t="s">
        <v>40</v>
      </c>
      <c r="D190" s="358">
        <v>0.31</v>
      </c>
      <c r="E190" s="493">
        <v>28.21</v>
      </c>
      <c r="F190" s="493">
        <f>E190*D190</f>
        <v>8.7451000000000008</v>
      </c>
    </row>
    <row r="191" spans="1:6" ht="28.5">
      <c r="A191" s="502" t="s">
        <v>2555</v>
      </c>
      <c r="B191" s="357" t="s">
        <v>2556</v>
      </c>
      <c r="C191" s="348" t="s">
        <v>40</v>
      </c>
      <c r="D191" s="358">
        <v>0.31</v>
      </c>
      <c r="E191" s="493">
        <v>19.190000000000001</v>
      </c>
      <c r="F191" s="493">
        <f>E191*D191</f>
        <v>5.9489000000000001</v>
      </c>
    </row>
    <row r="192" spans="1:6" ht="15" customHeight="1">
      <c r="A192" s="1150" t="s">
        <v>1083</v>
      </c>
      <c r="B192" s="1150"/>
      <c r="C192" s="1150"/>
      <c r="D192" s="1150"/>
      <c r="E192" s="1150"/>
      <c r="F192" s="1150"/>
    </row>
    <row r="193" spans="1:6" ht="30">
      <c r="A193" s="490" t="s">
        <v>2350</v>
      </c>
      <c r="B193" s="490" t="s">
        <v>2351</v>
      </c>
      <c r="C193" s="490" t="s">
        <v>2352</v>
      </c>
      <c r="D193" s="494" t="s">
        <v>2353</v>
      </c>
      <c r="E193" s="495" t="s">
        <v>2354</v>
      </c>
      <c r="F193" s="495" t="s">
        <v>2355</v>
      </c>
    </row>
    <row r="194" spans="1:6">
      <c r="A194" s="496"/>
      <c r="B194" s="496">
        <f>F189</f>
        <v>28.866995073891623</v>
      </c>
      <c r="C194" s="496">
        <f>F190+F191</f>
        <v>14.694000000000001</v>
      </c>
      <c r="D194" s="496"/>
      <c r="E194" s="497"/>
      <c r="F194" s="519">
        <f>SUM(A194:E194)</f>
        <v>43.560995073891625</v>
      </c>
    </row>
    <row r="195" spans="1:6" ht="15" customHeight="1">
      <c r="A195" s="1149"/>
      <c r="B195" s="1149"/>
      <c r="C195" s="1149"/>
      <c r="D195" s="1149"/>
      <c r="E195" s="1149"/>
      <c r="F195" s="1149"/>
    </row>
    <row r="196" spans="1:6" ht="15" customHeight="1">
      <c r="A196" s="490" t="s">
        <v>2330</v>
      </c>
      <c r="B196" s="1149" t="s">
        <v>2331</v>
      </c>
      <c r="C196" s="1149"/>
      <c r="D196" s="1149"/>
      <c r="E196" s="1149"/>
      <c r="F196" s="490" t="s">
        <v>2332</v>
      </c>
    </row>
    <row r="197" spans="1:6" ht="15" customHeight="1">
      <c r="A197" s="348" t="s">
        <v>2581</v>
      </c>
      <c r="B197" s="1147" t="s">
        <v>814</v>
      </c>
      <c r="C197" s="1147"/>
      <c r="D197" s="1147"/>
      <c r="E197" s="1147"/>
      <c r="F197" s="500" t="s">
        <v>2334</v>
      </c>
    </row>
    <row r="198" spans="1:6" ht="15" customHeight="1">
      <c r="A198" s="1146" t="s">
        <v>2335</v>
      </c>
      <c r="B198" s="1146"/>
      <c r="C198" s="1146"/>
      <c r="D198" s="1146"/>
      <c r="E198" s="1146"/>
      <c r="F198" s="1146"/>
    </row>
    <row r="199" spans="1:6" ht="30">
      <c r="A199" s="490" t="s">
        <v>11</v>
      </c>
      <c r="B199" s="491" t="s">
        <v>2336</v>
      </c>
      <c r="C199" s="490" t="s">
        <v>2337</v>
      </c>
      <c r="D199" s="490" t="s">
        <v>16</v>
      </c>
      <c r="E199" s="490" t="s">
        <v>2338</v>
      </c>
      <c r="F199" s="490" t="s">
        <v>2339</v>
      </c>
    </row>
    <row r="200" spans="1:6">
      <c r="A200" s="337" t="s">
        <v>2366</v>
      </c>
      <c r="B200" s="492" t="s">
        <v>814</v>
      </c>
      <c r="C200" s="500" t="s">
        <v>2582</v>
      </c>
      <c r="D200" s="358">
        <v>1</v>
      </c>
      <c r="E200" s="493">
        <v>30.58</v>
      </c>
      <c r="F200" s="493">
        <f>D200*E200</f>
        <v>30.58</v>
      </c>
    </row>
    <row r="201" spans="1:6" ht="28.5">
      <c r="A201" s="502" t="s">
        <v>2529</v>
      </c>
      <c r="B201" s="357" t="s">
        <v>1102</v>
      </c>
      <c r="C201" s="348" t="s">
        <v>40</v>
      </c>
      <c r="D201" s="358">
        <v>0.31</v>
      </c>
      <c r="E201" s="493">
        <v>28.21</v>
      </c>
      <c r="F201" s="493">
        <f>E201*D201</f>
        <v>8.7451000000000008</v>
      </c>
    </row>
    <row r="202" spans="1:6" ht="28.5">
      <c r="A202" s="502" t="s">
        <v>2555</v>
      </c>
      <c r="B202" s="357" t="s">
        <v>2556</v>
      </c>
      <c r="C202" s="348" t="s">
        <v>40</v>
      </c>
      <c r="D202" s="358">
        <v>0.31</v>
      </c>
      <c r="E202" s="493">
        <v>19.190000000000001</v>
      </c>
      <c r="F202" s="493">
        <f>E202*D202</f>
        <v>5.9489000000000001</v>
      </c>
    </row>
    <row r="203" spans="1:6" ht="15" customHeight="1">
      <c r="A203" s="1150" t="s">
        <v>1083</v>
      </c>
      <c r="B203" s="1150"/>
      <c r="C203" s="1150"/>
      <c r="D203" s="1150"/>
      <c r="E203" s="1150"/>
      <c r="F203" s="1150"/>
    </row>
    <row r="204" spans="1:6" ht="30">
      <c r="A204" s="490" t="s">
        <v>2350</v>
      </c>
      <c r="B204" s="490" t="s">
        <v>2351</v>
      </c>
      <c r="C204" s="490" t="s">
        <v>2352</v>
      </c>
      <c r="D204" s="494" t="s">
        <v>2353</v>
      </c>
      <c r="E204" s="495" t="s">
        <v>2354</v>
      </c>
      <c r="F204" s="495" t="s">
        <v>2355</v>
      </c>
    </row>
    <row r="205" spans="1:6">
      <c r="A205" s="496"/>
      <c r="B205" s="496">
        <f>F200</f>
        <v>30.58</v>
      </c>
      <c r="C205" s="496">
        <f>F201+F202</f>
        <v>14.694000000000001</v>
      </c>
      <c r="D205" s="496"/>
      <c r="E205" s="497"/>
      <c r="F205" s="519">
        <f>SUM(A205:E205)</f>
        <v>45.274000000000001</v>
      </c>
    </row>
    <row r="207" spans="1:6" ht="15" customHeight="1">
      <c r="A207" s="1149" t="s">
        <v>2534</v>
      </c>
      <c r="B207" s="1149"/>
      <c r="C207" s="1149"/>
      <c r="D207" s="1149"/>
      <c r="E207" s="1149"/>
      <c r="F207" s="1149"/>
    </row>
    <row r="208" spans="1:6" ht="15" customHeight="1">
      <c r="A208" s="490" t="s">
        <v>2330</v>
      </c>
      <c r="B208" s="1149" t="s">
        <v>2331</v>
      </c>
      <c r="C208" s="1149"/>
      <c r="D208" s="1149"/>
      <c r="E208" s="1149"/>
      <c r="F208" s="490" t="s">
        <v>2332</v>
      </c>
    </row>
    <row r="209" spans="1:6" ht="30.6" customHeight="1">
      <c r="A209" s="348" t="s">
        <v>2583</v>
      </c>
      <c r="B209" s="1147" t="s">
        <v>1271</v>
      </c>
      <c r="C209" s="1147"/>
      <c r="D209" s="1147"/>
      <c r="E209" s="1147"/>
      <c r="F209" s="500" t="s">
        <v>2334</v>
      </c>
    </row>
    <row r="210" spans="1:6" ht="15" customHeight="1">
      <c r="A210" s="1146" t="s">
        <v>2335</v>
      </c>
      <c r="B210" s="1146"/>
      <c r="C210" s="1146"/>
      <c r="D210" s="1146"/>
      <c r="E210" s="1146"/>
      <c r="F210" s="1146"/>
    </row>
    <row r="211" spans="1:6" ht="30">
      <c r="A211" s="490" t="s">
        <v>11</v>
      </c>
      <c r="B211" s="491" t="s">
        <v>2336</v>
      </c>
      <c r="C211" s="490" t="s">
        <v>2337</v>
      </c>
      <c r="D211" s="490" t="s">
        <v>16</v>
      </c>
      <c r="E211" s="490" t="s">
        <v>2338</v>
      </c>
      <c r="F211" s="490" t="s">
        <v>2339</v>
      </c>
    </row>
    <row r="212" spans="1:6" ht="27" customHeight="1">
      <c r="A212" s="337" t="s">
        <v>2366</v>
      </c>
      <c r="B212" s="492" t="s">
        <v>2584</v>
      </c>
      <c r="C212" s="500" t="s">
        <v>2334</v>
      </c>
      <c r="D212" s="358">
        <v>1</v>
      </c>
      <c r="E212" s="493">
        <f>2700/15</f>
        <v>180</v>
      </c>
      <c r="F212" s="493">
        <f>D212*E212</f>
        <v>180</v>
      </c>
    </row>
    <row r="213" spans="1:6" ht="27" customHeight="1">
      <c r="A213" s="337" t="s">
        <v>2366</v>
      </c>
      <c r="B213" s="492" t="s">
        <v>2585</v>
      </c>
      <c r="C213" s="500" t="s">
        <v>246</v>
      </c>
      <c r="D213" s="358">
        <f>200/15</f>
        <v>13.333333333333334</v>
      </c>
      <c r="E213" s="238">
        <f>'COTAÇÕES EQUIPAMENTOS'!H60</f>
        <v>6</v>
      </c>
      <c r="F213" s="493">
        <f>D213*E213</f>
        <v>80</v>
      </c>
    </row>
    <row r="214" spans="1:6" ht="28.5">
      <c r="A214" s="502" t="s">
        <v>2529</v>
      </c>
      <c r="B214" s="357" t="s">
        <v>1102</v>
      </c>
      <c r="C214" s="348" t="s">
        <v>40</v>
      </c>
      <c r="D214" s="349">
        <v>5</v>
      </c>
      <c r="E214" s="493">
        <v>22.51</v>
      </c>
      <c r="F214" s="493">
        <f>E214*D214</f>
        <v>112.55000000000001</v>
      </c>
    </row>
    <row r="215" spans="1:6" ht="28.5">
      <c r="A215" s="502" t="s">
        <v>2342</v>
      </c>
      <c r="B215" s="357" t="s">
        <v>2343</v>
      </c>
      <c r="C215" s="348" t="s">
        <v>40</v>
      </c>
      <c r="D215" s="349">
        <v>5</v>
      </c>
      <c r="E215" s="493">
        <v>14.33</v>
      </c>
      <c r="F215" s="493">
        <f>E215*D215</f>
        <v>71.650000000000006</v>
      </c>
    </row>
    <row r="216" spans="1:6" ht="15" customHeight="1">
      <c r="A216" s="1150" t="s">
        <v>1083</v>
      </c>
      <c r="B216" s="1150"/>
      <c r="C216" s="1150"/>
      <c r="D216" s="1150"/>
      <c r="E216" s="1150"/>
      <c r="F216" s="1150"/>
    </row>
    <row r="217" spans="1:6" ht="30">
      <c r="A217" s="490" t="s">
        <v>2350</v>
      </c>
      <c r="B217" s="490" t="s">
        <v>2351</v>
      </c>
      <c r="C217" s="490" t="s">
        <v>2352</v>
      </c>
      <c r="D217" s="494" t="s">
        <v>2353</v>
      </c>
      <c r="E217" s="495" t="s">
        <v>2354</v>
      </c>
      <c r="F217" s="495" t="s">
        <v>2355</v>
      </c>
    </row>
    <row r="218" spans="1:6">
      <c r="A218" s="496"/>
      <c r="B218" s="496">
        <f>SUM(F212:F213)</f>
        <v>260</v>
      </c>
      <c r="C218" s="496">
        <f>F214+F215</f>
        <v>184.20000000000002</v>
      </c>
      <c r="D218" s="496"/>
      <c r="E218" s="497"/>
      <c r="F218" s="519">
        <f>SUM(A218:E218)</f>
        <v>444.20000000000005</v>
      </c>
    </row>
    <row r="220" spans="1:6">
      <c r="A220" s="1149"/>
      <c r="B220" s="1149"/>
      <c r="C220" s="1149"/>
      <c r="D220" s="1149"/>
      <c r="E220" s="1149"/>
      <c r="F220" s="1149"/>
    </row>
    <row r="221" spans="1:6" ht="15" customHeight="1">
      <c r="A221" s="490" t="s">
        <v>2330</v>
      </c>
      <c r="B221" s="1149" t="s">
        <v>2331</v>
      </c>
      <c r="C221" s="1149"/>
      <c r="D221" s="1149"/>
      <c r="E221" s="1149"/>
      <c r="F221" s="490" t="s">
        <v>2332</v>
      </c>
    </row>
    <row r="222" spans="1:6" ht="15" customHeight="1">
      <c r="A222" s="348" t="s">
        <v>2586</v>
      </c>
      <c r="B222" s="1147" t="s">
        <v>2587</v>
      </c>
      <c r="C222" s="1147"/>
      <c r="D222" s="1147"/>
      <c r="E222" s="1147"/>
      <c r="F222" s="500" t="s">
        <v>246</v>
      </c>
    </row>
    <row r="223" spans="1:6" ht="15" customHeight="1">
      <c r="A223" s="1146" t="s">
        <v>2335</v>
      </c>
      <c r="B223" s="1146"/>
      <c r="C223" s="1146"/>
      <c r="D223" s="1146"/>
      <c r="E223" s="1146"/>
      <c r="F223" s="1146"/>
    </row>
    <row r="224" spans="1:6" ht="30">
      <c r="A224" s="490" t="s">
        <v>11</v>
      </c>
      <c r="B224" s="491" t="s">
        <v>2336</v>
      </c>
      <c r="C224" s="490" t="s">
        <v>2337</v>
      </c>
      <c r="D224" s="490" t="s">
        <v>16</v>
      </c>
      <c r="E224" s="490" t="s">
        <v>2338</v>
      </c>
      <c r="F224" s="490" t="s">
        <v>2339</v>
      </c>
    </row>
    <row r="225" spans="1:6">
      <c r="A225" s="337" t="s">
        <v>2588</v>
      </c>
      <c r="B225" s="492" t="s">
        <v>2589</v>
      </c>
      <c r="C225" s="500" t="s">
        <v>246</v>
      </c>
      <c r="D225" s="358">
        <v>1.1000000000000001</v>
      </c>
      <c r="E225" s="493">
        <v>14.79</v>
      </c>
      <c r="F225" s="493">
        <f>D225*E225</f>
        <v>16.269000000000002</v>
      </c>
    </row>
    <row r="226" spans="1:6" ht="28.5">
      <c r="A226" s="348" t="s">
        <v>2590</v>
      </c>
      <c r="B226" s="357" t="s">
        <v>2343</v>
      </c>
      <c r="C226" s="502" t="s">
        <v>40</v>
      </c>
      <c r="D226" s="358">
        <v>0.3</v>
      </c>
      <c r="E226" s="493">
        <v>14.33</v>
      </c>
      <c r="F226" s="493">
        <f>D226*E226</f>
        <v>4.2989999999999995</v>
      </c>
    </row>
    <row r="227" spans="1:6" ht="28.5">
      <c r="A227" s="359" t="s">
        <v>2529</v>
      </c>
      <c r="B227" s="492" t="s">
        <v>1102</v>
      </c>
      <c r="C227" s="500" t="s">
        <v>40</v>
      </c>
      <c r="D227" s="358">
        <v>0.3</v>
      </c>
      <c r="E227" s="493">
        <v>22.51</v>
      </c>
      <c r="F227" s="493">
        <f>D227*E227</f>
        <v>6.7530000000000001</v>
      </c>
    </row>
    <row r="228" spans="1:6" ht="15" customHeight="1">
      <c r="A228" s="1150" t="s">
        <v>1083</v>
      </c>
      <c r="B228" s="1150"/>
      <c r="C228" s="1150"/>
      <c r="D228" s="1150"/>
      <c r="E228" s="1150"/>
      <c r="F228" s="1150"/>
    </row>
    <row r="229" spans="1:6" ht="30">
      <c r="A229" s="490" t="s">
        <v>2350</v>
      </c>
      <c r="B229" s="490" t="s">
        <v>2351</v>
      </c>
      <c r="C229" s="490" t="s">
        <v>2352</v>
      </c>
      <c r="D229" s="494" t="s">
        <v>2353</v>
      </c>
      <c r="E229" s="495" t="s">
        <v>2354</v>
      </c>
      <c r="F229" s="495" t="s">
        <v>2355</v>
      </c>
    </row>
    <row r="230" spans="1:6">
      <c r="A230" s="496"/>
      <c r="B230" s="496">
        <f>F225</f>
        <v>16.269000000000002</v>
      </c>
      <c r="C230" s="496">
        <f>F226+F227</f>
        <v>11.052</v>
      </c>
      <c r="D230" s="496"/>
      <c r="E230" s="497"/>
      <c r="F230" s="519">
        <f>SUM(A230:E230)</f>
        <v>27.321000000000002</v>
      </c>
    </row>
    <row r="232" spans="1:6">
      <c r="A232" s="1149"/>
      <c r="B232" s="1149"/>
      <c r="C232" s="1149"/>
      <c r="D232" s="1149"/>
      <c r="E232" s="1149"/>
      <c r="F232" s="1149"/>
    </row>
    <row r="233" spans="1:6" ht="15" customHeight="1">
      <c r="A233" s="490" t="s">
        <v>2330</v>
      </c>
      <c r="B233" s="1149" t="s">
        <v>2331</v>
      </c>
      <c r="C233" s="1149"/>
      <c r="D233" s="1149"/>
      <c r="E233" s="1149"/>
      <c r="F233" s="490" t="s">
        <v>2332</v>
      </c>
    </row>
    <row r="234" spans="1:6" ht="15" customHeight="1">
      <c r="A234" s="348" t="s">
        <v>2591</v>
      </c>
      <c r="B234" s="1147" t="s">
        <v>2592</v>
      </c>
      <c r="C234" s="1147"/>
      <c r="D234" s="1147"/>
      <c r="E234" s="1147"/>
      <c r="F234" s="500" t="s">
        <v>246</v>
      </c>
    </row>
    <row r="235" spans="1:6" ht="15" customHeight="1">
      <c r="A235" s="1146" t="s">
        <v>2335</v>
      </c>
      <c r="B235" s="1146"/>
      <c r="C235" s="1146"/>
      <c r="D235" s="1146"/>
      <c r="E235" s="1146"/>
      <c r="F235" s="1146"/>
    </row>
    <row r="236" spans="1:6" ht="30">
      <c r="A236" s="490" t="s">
        <v>11</v>
      </c>
      <c r="B236" s="491" t="s">
        <v>2336</v>
      </c>
      <c r="C236" s="490" t="s">
        <v>2337</v>
      </c>
      <c r="D236" s="490" t="s">
        <v>16</v>
      </c>
      <c r="E236" s="490" t="s">
        <v>2338</v>
      </c>
      <c r="F236" s="490" t="s">
        <v>2339</v>
      </c>
    </row>
    <row r="237" spans="1:6">
      <c r="A237" s="337" t="s">
        <v>2593</v>
      </c>
      <c r="B237" s="492" t="s">
        <v>2594</v>
      </c>
      <c r="C237" s="500" t="s">
        <v>246</v>
      </c>
      <c r="D237" s="358">
        <v>1.1000000000000001</v>
      </c>
      <c r="E237" s="493">
        <v>28.47</v>
      </c>
      <c r="F237" s="493">
        <f>D237*E237</f>
        <v>31.317</v>
      </c>
    </row>
    <row r="238" spans="1:6" ht="28.5">
      <c r="A238" s="348" t="s">
        <v>2590</v>
      </c>
      <c r="B238" s="357" t="s">
        <v>2343</v>
      </c>
      <c r="C238" s="502" t="s">
        <v>40</v>
      </c>
      <c r="D238" s="358">
        <v>0.4</v>
      </c>
      <c r="E238" s="493">
        <v>14.33</v>
      </c>
      <c r="F238" s="493">
        <f>D238*E238</f>
        <v>5.7320000000000002</v>
      </c>
    </row>
    <row r="239" spans="1:6" ht="28.5">
      <c r="A239" s="359" t="s">
        <v>2529</v>
      </c>
      <c r="B239" s="492" t="s">
        <v>1102</v>
      </c>
      <c r="C239" s="500" t="s">
        <v>40</v>
      </c>
      <c r="D239" s="358">
        <v>0.4</v>
      </c>
      <c r="E239" s="493">
        <v>22.51</v>
      </c>
      <c r="F239" s="493">
        <f>D239*E239</f>
        <v>9.0040000000000013</v>
      </c>
    </row>
    <row r="240" spans="1:6" ht="15" customHeight="1">
      <c r="A240" s="1150" t="s">
        <v>1083</v>
      </c>
      <c r="B240" s="1150"/>
      <c r="C240" s="1150"/>
      <c r="D240" s="1150"/>
      <c r="E240" s="1150"/>
      <c r="F240" s="1150"/>
    </row>
    <row r="241" spans="1:6" ht="30">
      <c r="A241" s="490" t="s">
        <v>2350</v>
      </c>
      <c r="B241" s="490" t="s">
        <v>2351</v>
      </c>
      <c r="C241" s="490" t="s">
        <v>2352</v>
      </c>
      <c r="D241" s="494" t="s">
        <v>2353</v>
      </c>
      <c r="E241" s="495" t="s">
        <v>2354</v>
      </c>
      <c r="F241" s="495" t="s">
        <v>2355</v>
      </c>
    </row>
    <row r="242" spans="1:6">
      <c r="A242" s="496"/>
      <c r="B242" s="496">
        <f>F237</f>
        <v>31.317</v>
      </c>
      <c r="C242" s="496">
        <f>F238+F239</f>
        <v>14.736000000000001</v>
      </c>
      <c r="D242" s="496"/>
      <c r="E242" s="497"/>
      <c r="F242" s="519">
        <f>SUM(A242:E242)</f>
        <v>46.052999999999997</v>
      </c>
    </row>
    <row r="244" spans="1:6" ht="15" customHeight="1">
      <c r="A244" s="1149"/>
      <c r="B244" s="1149"/>
      <c r="C244" s="1149"/>
      <c r="D244" s="1149"/>
      <c r="E244" s="1149"/>
      <c r="F244" s="1149"/>
    </row>
    <row r="245" spans="1:6" ht="15" customHeight="1">
      <c r="A245" s="490" t="s">
        <v>2330</v>
      </c>
      <c r="B245" s="1149" t="s">
        <v>2331</v>
      </c>
      <c r="C245" s="1149"/>
      <c r="D245" s="1149"/>
      <c r="E245" s="1149"/>
      <c r="F245" s="490" t="s">
        <v>2332</v>
      </c>
    </row>
    <row r="246" spans="1:6" ht="36" customHeight="1">
      <c r="A246" s="348" t="s">
        <v>2595</v>
      </c>
      <c r="B246" s="1147" t="s">
        <v>2596</v>
      </c>
      <c r="C246" s="1147"/>
      <c r="D246" s="1147"/>
      <c r="E246" s="1147"/>
      <c r="F246" s="500" t="s">
        <v>2334</v>
      </c>
    </row>
    <row r="247" spans="1:6" ht="15" customHeight="1">
      <c r="A247" s="1146" t="s">
        <v>2335</v>
      </c>
      <c r="B247" s="1146"/>
      <c r="C247" s="1146"/>
      <c r="D247" s="1146"/>
      <c r="E247" s="1146"/>
      <c r="F247" s="1146"/>
    </row>
    <row r="248" spans="1:6" ht="30">
      <c r="A248" s="490" t="s">
        <v>11</v>
      </c>
      <c r="B248" s="491" t="s">
        <v>2336</v>
      </c>
      <c r="C248" s="490" t="s">
        <v>2337</v>
      </c>
      <c r="D248" s="490" t="s">
        <v>16</v>
      </c>
      <c r="E248" s="490" t="s">
        <v>2338</v>
      </c>
      <c r="F248" s="490" t="s">
        <v>2339</v>
      </c>
    </row>
    <row r="249" spans="1:6" ht="42.75">
      <c r="A249" s="337" t="s">
        <v>2597</v>
      </c>
      <c r="B249" s="492" t="s">
        <v>2598</v>
      </c>
      <c r="C249" s="500" t="s">
        <v>2337</v>
      </c>
      <c r="D249" s="358">
        <v>1</v>
      </c>
      <c r="E249" s="493">
        <v>10.85</v>
      </c>
      <c r="F249" s="493">
        <f>D249*E249</f>
        <v>10.85</v>
      </c>
    </row>
    <row r="250" spans="1:6" ht="28.5">
      <c r="A250" s="348" t="s">
        <v>2590</v>
      </c>
      <c r="B250" s="357" t="s">
        <v>2343</v>
      </c>
      <c r="C250" s="502" t="s">
        <v>40</v>
      </c>
      <c r="D250" s="358">
        <v>0.45</v>
      </c>
      <c r="E250" s="493">
        <v>14.33</v>
      </c>
      <c r="F250" s="493">
        <f>D250*E250</f>
        <v>6.4485000000000001</v>
      </c>
    </row>
    <row r="251" spans="1:6" ht="28.5">
      <c r="A251" s="359" t="s">
        <v>2529</v>
      </c>
      <c r="B251" s="492" t="s">
        <v>1102</v>
      </c>
      <c r="C251" s="500" t="s">
        <v>40</v>
      </c>
      <c r="D251" s="358">
        <v>0.45</v>
      </c>
      <c r="E251" s="493">
        <v>22.51</v>
      </c>
      <c r="F251" s="493">
        <f>D251*E251</f>
        <v>10.1295</v>
      </c>
    </row>
    <row r="252" spans="1:6" ht="15" customHeight="1">
      <c r="A252" s="1150" t="s">
        <v>1083</v>
      </c>
      <c r="B252" s="1150"/>
      <c r="C252" s="1150"/>
      <c r="D252" s="1150"/>
      <c r="E252" s="1150"/>
      <c r="F252" s="1150"/>
    </row>
    <row r="253" spans="1:6" ht="30">
      <c r="A253" s="490" t="s">
        <v>2350</v>
      </c>
      <c r="B253" s="490" t="s">
        <v>2351</v>
      </c>
      <c r="C253" s="490" t="s">
        <v>2352</v>
      </c>
      <c r="D253" s="494" t="s">
        <v>2353</v>
      </c>
      <c r="E253" s="495" t="s">
        <v>2354</v>
      </c>
      <c r="F253" s="495" t="s">
        <v>2355</v>
      </c>
    </row>
    <row r="254" spans="1:6">
      <c r="A254" s="496"/>
      <c r="B254" s="496">
        <f>F249</f>
        <v>10.85</v>
      </c>
      <c r="C254" s="496">
        <f>F250+F251</f>
        <v>16.577999999999999</v>
      </c>
      <c r="D254" s="496"/>
      <c r="E254" s="497"/>
      <c r="F254" s="519">
        <f>SUM(A254:E254)</f>
        <v>27.427999999999997</v>
      </c>
    </row>
    <row r="256" spans="1:6" ht="15" customHeight="1">
      <c r="A256" s="490" t="s">
        <v>2330</v>
      </c>
      <c r="B256" s="1149" t="s">
        <v>2331</v>
      </c>
      <c r="C256" s="1149"/>
      <c r="D256" s="1149"/>
      <c r="E256" s="1149"/>
      <c r="F256" s="490" t="s">
        <v>2332</v>
      </c>
    </row>
    <row r="257" spans="1:6" ht="40.9" customHeight="1">
      <c r="A257" s="348" t="s">
        <v>2599</v>
      </c>
      <c r="B257" s="1147" t="s">
        <v>2600</v>
      </c>
      <c r="C257" s="1147"/>
      <c r="D257" s="1147"/>
      <c r="E257" s="1147"/>
      <c r="F257" s="500" t="s">
        <v>2334</v>
      </c>
    </row>
    <row r="258" spans="1:6" ht="15" customHeight="1">
      <c r="A258" s="1146" t="s">
        <v>2335</v>
      </c>
      <c r="B258" s="1146"/>
      <c r="C258" s="1146"/>
      <c r="D258" s="1146"/>
      <c r="E258" s="1146"/>
      <c r="F258" s="1146"/>
    </row>
    <row r="259" spans="1:6" ht="30">
      <c r="A259" s="501" t="s">
        <v>11</v>
      </c>
      <c r="B259" s="517" t="s">
        <v>2336</v>
      </c>
      <c r="C259" s="501" t="s">
        <v>2337</v>
      </c>
      <c r="D259" s="501" t="s">
        <v>16</v>
      </c>
      <c r="E259" s="501" t="s">
        <v>2338</v>
      </c>
      <c r="F259" s="501" t="s">
        <v>2339</v>
      </c>
    </row>
    <row r="260" spans="1:6" ht="28.5">
      <c r="A260" s="502" t="s">
        <v>2366</v>
      </c>
      <c r="B260" s="492" t="s">
        <v>2601</v>
      </c>
      <c r="C260" s="348" t="s">
        <v>2334</v>
      </c>
      <c r="D260" s="358">
        <v>1</v>
      </c>
      <c r="E260" s="493">
        <v>220.81</v>
      </c>
      <c r="F260" s="493">
        <f>E260*D260</f>
        <v>220.81</v>
      </c>
    </row>
    <row r="261" spans="1:6">
      <c r="A261" s="502" t="s">
        <v>2366</v>
      </c>
      <c r="B261" s="504" t="s">
        <v>2602</v>
      </c>
      <c r="C261" s="348" t="s">
        <v>2334</v>
      </c>
      <c r="D261" s="358">
        <v>1</v>
      </c>
      <c r="E261" s="238">
        <v>15.41</v>
      </c>
      <c r="F261" s="493">
        <f>E261*D261</f>
        <v>15.41</v>
      </c>
    </row>
    <row r="262" spans="1:6" ht="28.5">
      <c r="A262" s="502" t="s">
        <v>2529</v>
      </c>
      <c r="B262" s="357" t="s">
        <v>1102</v>
      </c>
      <c r="C262" s="348" t="s">
        <v>40</v>
      </c>
      <c r="D262" s="358">
        <v>1</v>
      </c>
      <c r="E262" s="493">
        <v>22.51</v>
      </c>
      <c r="F262" s="493">
        <f>E262*D262</f>
        <v>22.51</v>
      </c>
    </row>
    <row r="263" spans="1:6" ht="28.5">
      <c r="A263" s="502" t="s">
        <v>2342</v>
      </c>
      <c r="B263" s="357" t="s">
        <v>2343</v>
      </c>
      <c r="C263" s="348" t="s">
        <v>40</v>
      </c>
      <c r="D263" s="358">
        <v>1</v>
      </c>
      <c r="E263" s="493">
        <v>14.33</v>
      </c>
      <c r="F263" s="493">
        <f>E263*D263</f>
        <v>14.33</v>
      </c>
    </row>
    <row r="264" spans="1:6" ht="15" customHeight="1">
      <c r="A264" s="1148" t="s">
        <v>2543</v>
      </c>
      <c r="B264" s="1148"/>
      <c r="C264" s="1148"/>
      <c r="D264" s="1148"/>
      <c r="E264" s="1148"/>
      <c r="F264" s="1148"/>
    </row>
    <row r="265" spans="1:6" ht="30">
      <c r="A265" s="490" t="s">
        <v>2350</v>
      </c>
      <c r="B265" s="490" t="s">
        <v>2351</v>
      </c>
      <c r="C265" s="490" t="s">
        <v>2352</v>
      </c>
      <c r="D265" s="494" t="s">
        <v>2353</v>
      </c>
      <c r="E265" s="495" t="s">
        <v>2354</v>
      </c>
      <c r="F265" s="495" t="s">
        <v>2355</v>
      </c>
    </row>
    <row r="266" spans="1:6">
      <c r="A266" s="496"/>
      <c r="B266" s="496">
        <f>SUM(F260:F261)</f>
        <v>236.22</v>
      </c>
      <c r="C266" s="496">
        <f>SUM(F262:F263)</f>
        <v>36.840000000000003</v>
      </c>
      <c r="D266" s="496"/>
      <c r="E266" s="497"/>
      <c r="F266" s="498">
        <f>SUM(A266:E266)</f>
        <v>273.06</v>
      </c>
    </row>
    <row r="267" spans="1:6">
      <c r="A267" s="235"/>
      <c r="B267" s="235"/>
      <c r="C267" s="235"/>
      <c r="D267" s="235"/>
      <c r="E267" s="236"/>
      <c r="F267" s="240"/>
    </row>
    <row r="268" spans="1:6" ht="15" customHeight="1">
      <c r="A268" s="490" t="s">
        <v>2330</v>
      </c>
      <c r="B268" s="1149" t="s">
        <v>2331</v>
      </c>
      <c r="C268" s="1149"/>
      <c r="D268" s="1149"/>
      <c r="E268" s="1149"/>
      <c r="F268" s="490" t="s">
        <v>2332</v>
      </c>
    </row>
    <row r="269" spans="1:6" ht="40.9" customHeight="1">
      <c r="A269" s="348" t="s">
        <v>2603</v>
      </c>
      <c r="B269" s="1147" t="s">
        <v>2604</v>
      </c>
      <c r="C269" s="1147"/>
      <c r="D269" s="1147"/>
      <c r="E269" s="1147"/>
      <c r="F269" s="500" t="s">
        <v>2334</v>
      </c>
    </row>
    <row r="270" spans="1:6" ht="15" customHeight="1">
      <c r="A270" s="1146" t="s">
        <v>2335</v>
      </c>
      <c r="B270" s="1146"/>
      <c r="C270" s="1146"/>
      <c r="D270" s="1146"/>
      <c r="E270" s="1146"/>
      <c r="F270" s="1146"/>
    </row>
    <row r="271" spans="1:6" ht="30">
      <c r="A271" s="501" t="s">
        <v>11</v>
      </c>
      <c r="B271" s="517" t="s">
        <v>2336</v>
      </c>
      <c r="C271" s="501" t="s">
        <v>2337</v>
      </c>
      <c r="D271" s="501" t="s">
        <v>16</v>
      </c>
      <c r="E271" s="501" t="s">
        <v>2338</v>
      </c>
      <c r="F271" s="501" t="s">
        <v>2339</v>
      </c>
    </row>
    <row r="272" spans="1:6" ht="28.5">
      <c r="A272" s="502" t="s">
        <v>2366</v>
      </c>
      <c r="B272" s="492" t="s">
        <v>2605</v>
      </c>
      <c r="C272" s="348" t="s">
        <v>2334</v>
      </c>
      <c r="D272" s="358">
        <v>1</v>
      </c>
      <c r="E272" s="493">
        <v>794.69</v>
      </c>
      <c r="F272" s="493">
        <f>E272*D272</f>
        <v>794.69</v>
      </c>
    </row>
    <row r="273" spans="1:6">
      <c r="A273" s="502" t="s">
        <v>2366</v>
      </c>
      <c r="B273" s="504" t="s">
        <v>2606</v>
      </c>
      <c r="C273" s="348" t="s">
        <v>2334</v>
      </c>
      <c r="D273" s="358">
        <v>1</v>
      </c>
      <c r="E273" s="238">
        <v>131.54</v>
      </c>
      <c r="F273" s="493">
        <f>E273*D273</f>
        <v>131.54</v>
      </c>
    </row>
    <row r="274" spans="1:6" ht="28.5">
      <c r="A274" s="502" t="s">
        <v>2529</v>
      </c>
      <c r="B274" s="357" t="s">
        <v>1102</v>
      </c>
      <c r="C274" s="348" t="s">
        <v>40</v>
      </c>
      <c r="D274" s="358">
        <v>1.5</v>
      </c>
      <c r="E274" s="493">
        <v>22.51</v>
      </c>
      <c r="F274" s="493">
        <f>E274*D274</f>
        <v>33.765000000000001</v>
      </c>
    </row>
    <row r="275" spans="1:6" ht="28.5">
      <c r="A275" s="502" t="s">
        <v>2342</v>
      </c>
      <c r="B275" s="357" t="s">
        <v>2343</v>
      </c>
      <c r="C275" s="348" t="s">
        <v>40</v>
      </c>
      <c r="D275" s="358">
        <v>1.5</v>
      </c>
      <c r="E275" s="493">
        <v>14.33</v>
      </c>
      <c r="F275" s="493">
        <f>E275*D275</f>
        <v>21.495000000000001</v>
      </c>
    </row>
    <row r="276" spans="1:6" ht="15" customHeight="1">
      <c r="A276" s="1148" t="s">
        <v>2543</v>
      </c>
      <c r="B276" s="1148"/>
      <c r="C276" s="1148"/>
      <c r="D276" s="1148"/>
      <c r="E276" s="1148"/>
      <c r="F276" s="1148"/>
    </row>
    <row r="277" spans="1:6" ht="30">
      <c r="A277" s="490" t="s">
        <v>2350</v>
      </c>
      <c r="B277" s="490" t="s">
        <v>2351</v>
      </c>
      <c r="C277" s="490" t="s">
        <v>2352</v>
      </c>
      <c r="D277" s="494" t="s">
        <v>2353</v>
      </c>
      <c r="E277" s="495" t="s">
        <v>2354</v>
      </c>
      <c r="F277" s="495" t="s">
        <v>2355</v>
      </c>
    </row>
    <row r="278" spans="1:6">
      <c r="A278" s="496"/>
      <c r="B278" s="496">
        <f>SUM(F272:F273)</f>
        <v>926.23</v>
      </c>
      <c r="C278" s="496">
        <f>SUM(F274:F275)</f>
        <v>55.260000000000005</v>
      </c>
      <c r="D278" s="496"/>
      <c r="E278" s="497"/>
      <c r="F278" s="498">
        <f>SUM(A278:E278)</f>
        <v>981.49</v>
      </c>
    </row>
    <row r="280" spans="1:6" ht="15" customHeight="1">
      <c r="A280" s="490" t="s">
        <v>2330</v>
      </c>
      <c r="B280" s="1149" t="s">
        <v>2331</v>
      </c>
      <c r="C280" s="1149"/>
      <c r="D280" s="1149"/>
      <c r="E280" s="1149"/>
      <c r="F280" s="490" t="s">
        <v>2332</v>
      </c>
    </row>
    <row r="281" spans="1:6" ht="40.9" customHeight="1">
      <c r="A281" s="348" t="s">
        <v>2607</v>
      </c>
      <c r="B281" s="1147" t="s">
        <v>2608</v>
      </c>
      <c r="C281" s="1147"/>
      <c r="D281" s="1147"/>
      <c r="E281" s="1147"/>
      <c r="F281" s="500" t="s">
        <v>2334</v>
      </c>
    </row>
    <row r="282" spans="1:6" ht="15" customHeight="1">
      <c r="A282" s="1146" t="s">
        <v>2335</v>
      </c>
      <c r="B282" s="1146"/>
      <c r="C282" s="1146"/>
      <c r="D282" s="1146"/>
      <c r="E282" s="1146"/>
      <c r="F282" s="1146"/>
    </row>
    <row r="283" spans="1:6" ht="30">
      <c r="A283" s="501" t="s">
        <v>11</v>
      </c>
      <c r="B283" s="517" t="s">
        <v>2336</v>
      </c>
      <c r="C283" s="501" t="s">
        <v>2337</v>
      </c>
      <c r="D283" s="501" t="s">
        <v>16</v>
      </c>
      <c r="E283" s="501" t="s">
        <v>2338</v>
      </c>
      <c r="F283" s="501" t="s">
        <v>2339</v>
      </c>
    </row>
    <row r="284" spans="1:6" ht="30.6" customHeight="1">
      <c r="A284" s="502" t="s">
        <v>2366</v>
      </c>
      <c r="B284" s="492" t="s">
        <v>2609</v>
      </c>
      <c r="C284" s="348" t="s">
        <v>2334</v>
      </c>
      <c r="D284" s="358">
        <v>1</v>
      </c>
      <c r="E284" s="493">
        <v>2327</v>
      </c>
      <c r="F284" s="493">
        <f>E284*D284</f>
        <v>2327</v>
      </c>
    </row>
    <row r="285" spans="1:6" ht="28.5">
      <c r="A285" s="502" t="s">
        <v>2529</v>
      </c>
      <c r="B285" s="357" t="s">
        <v>1102</v>
      </c>
      <c r="C285" s="348" t="s">
        <v>40</v>
      </c>
      <c r="D285" s="358">
        <v>1.5</v>
      </c>
      <c r="E285" s="493">
        <v>22.51</v>
      </c>
      <c r="F285" s="493">
        <f>E285*D285</f>
        <v>33.765000000000001</v>
      </c>
    </row>
    <row r="286" spans="1:6" ht="28.5">
      <c r="A286" s="502" t="s">
        <v>2342</v>
      </c>
      <c r="B286" s="357" t="s">
        <v>2343</v>
      </c>
      <c r="C286" s="348" t="s">
        <v>40</v>
      </c>
      <c r="D286" s="358">
        <v>1.5</v>
      </c>
      <c r="E286" s="493">
        <v>14.33</v>
      </c>
      <c r="F286" s="493">
        <f>E286*D286</f>
        <v>21.495000000000001</v>
      </c>
    </row>
    <row r="287" spans="1:6" ht="15" customHeight="1">
      <c r="A287" s="1148" t="s">
        <v>2543</v>
      </c>
      <c r="B287" s="1148"/>
      <c r="C287" s="1148"/>
      <c r="D287" s="1148"/>
      <c r="E287" s="1148"/>
      <c r="F287" s="1148"/>
    </row>
    <row r="288" spans="1:6" ht="30">
      <c r="A288" s="490" t="s">
        <v>2350</v>
      </c>
      <c r="B288" s="490" t="s">
        <v>2351</v>
      </c>
      <c r="C288" s="490" t="s">
        <v>2352</v>
      </c>
      <c r="D288" s="494" t="s">
        <v>2353</v>
      </c>
      <c r="E288" s="495" t="s">
        <v>2354</v>
      </c>
      <c r="F288" s="495" t="s">
        <v>2355</v>
      </c>
    </row>
    <row r="289" spans="1:6">
      <c r="A289" s="496"/>
      <c r="B289" s="496">
        <f>SUM(F284:F284)</f>
        <v>2327</v>
      </c>
      <c r="C289" s="496">
        <f>SUM(F285:F286)</f>
        <v>55.260000000000005</v>
      </c>
      <c r="D289" s="496"/>
      <c r="E289" s="497"/>
      <c r="F289" s="498">
        <f>SUM(A289:E289)</f>
        <v>2382.2600000000002</v>
      </c>
    </row>
    <row r="291" spans="1:6" ht="15" customHeight="1">
      <c r="A291" s="490" t="s">
        <v>2330</v>
      </c>
      <c r="B291" s="1149" t="s">
        <v>2331</v>
      </c>
      <c r="C291" s="1149"/>
      <c r="D291" s="1149"/>
      <c r="E291" s="1149"/>
      <c r="F291" s="490" t="s">
        <v>2332</v>
      </c>
    </row>
    <row r="292" spans="1:6" ht="40.9" customHeight="1">
      <c r="A292" s="348" t="s">
        <v>2610</v>
      </c>
      <c r="B292" s="1147" t="s">
        <v>752</v>
      </c>
      <c r="C292" s="1147"/>
      <c r="D292" s="1147"/>
      <c r="E292" s="1147"/>
      <c r="F292" s="500" t="s">
        <v>2334</v>
      </c>
    </row>
    <row r="293" spans="1:6" ht="15" customHeight="1">
      <c r="A293" s="1146" t="s">
        <v>2335</v>
      </c>
      <c r="B293" s="1146"/>
      <c r="C293" s="1146"/>
      <c r="D293" s="1146"/>
      <c r="E293" s="1146"/>
      <c r="F293" s="1146"/>
    </row>
    <row r="294" spans="1:6" ht="30">
      <c r="A294" s="501" t="s">
        <v>11</v>
      </c>
      <c r="B294" s="517" t="s">
        <v>2336</v>
      </c>
      <c r="C294" s="501" t="s">
        <v>2337</v>
      </c>
      <c r="D294" s="501" t="s">
        <v>16</v>
      </c>
      <c r="E294" s="501" t="s">
        <v>2338</v>
      </c>
      <c r="F294" s="501" t="s">
        <v>2339</v>
      </c>
    </row>
    <row r="295" spans="1:6" ht="30.6" customHeight="1">
      <c r="A295" s="502" t="s">
        <v>2611</v>
      </c>
      <c r="B295" s="492" t="s">
        <v>2612</v>
      </c>
      <c r="C295" s="348" t="s">
        <v>2334</v>
      </c>
      <c r="D295" s="358">
        <v>1</v>
      </c>
      <c r="E295" s="493">
        <v>65.900000000000006</v>
      </c>
      <c r="F295" s="493">
        <f>E295*D295</f>
        <v>65.900000000000006</v>
      </c>
    </row>
    <row r="296" spans="1:6" ht="28.5">
      <c r="A296" s="502" t="s">
        <v>2529</v>
      </c>
      <c r="B296" s="357" t="s">
        <v>1102</v>
      </c>
      <c r="C296" s="348" t="s">
        <v>40</v>
      </c>
      <c r="D296" s="358">
        <v>0.15</v>
      </c>
      <c r="E296" s="493">
        <v>22.51</v>
      </c>
      <c r="F296" s="493">
        <f>E296*D296</f>
        <v>3.3765000000000001</v>
      </c>
    </row>
    <row r="297" spans="1:6" ht="28.5">
      <c r="A297" s="502" t="s">
        <v>2342</v>
      </c>
      <c r="B297" s="357" t="s">
        <v>2343</v>
      </c>
      <c r="C297" s="348" t="s">
        <v>40</v>
      </c>
      <c r="D297" s="358">
        <v>0.15</v>
      </c>
      <c r="E297" s="493">
        <v>14.33</v>
      </c>
      <c r="F297" s="493">
        <f>E297*D297</f>
        <v>2.1494999999999997</v>
      </c>
    </row>
    <row r="298" spans="1:6" ht="15" customHeight="1">
      <c r="A298" s="1148" t="s">
        <v>2543</v>
      </c>
      <c r="B298" s="1148"/>
      <c r="C298" s="1148"/>
      <c r="D298" s="1148"/>
      <c r="E298" s="1148"/>
      <c r="F298" s="1148"/>
    </row>
    <row r="299" spans="1:6" ht="30">
      <c r="A299" s="490" t="s">
        <v>2350</v>
      </c>
      <c r="B299" s="490" t="s">
        <v>2351</v>
      </c>
      <c r="C299" s="490" t="s">
        <v>2352</v>
      </c>
      <c r="D299" s="494" t="s">
        <v>2353</v>
      </c>
      <c r="E299" s="495" t="s">
        <v>2354</v>
      </c>
      <c r="F299" s="495" t="s">
        <v>2355</v>
      </c>
    </row>
    <row r="300" spans="1:6">
      <c r="A300" s="496"/>
      <c r="B300" s="496">
        <f>SUM(F295:F295)</f>
        <v>65.900000000000006</v>
      </c>
      <c r="C300" s="496">
        <f>SUM(F296:F297)</f>
        <v>5.5259999999999998</v>
      </c>
      <c r="D300" s="496"/>
      <c r="E300" s="497"/>
      <c r="F300" s="498">
        <f>SUM(A300:E300)</f>
        <v>71.426000000000002</v>
      </c>
    </row>
    <row r="302" spans="1:6" ht="15" customHeight="1">
      <c r="A302" s="490" t="s">
        <v>2330</v>
      </c>
      <c r="B302" s="1149" t="s">
        <v>2331</v>
      </c>
      <c r="C302" s="1149"/>
      <c r="D302" s="1149"/>
      <c r="E302" s="1149"/>
      <c r="F302" s="490" t="s">
        <v>2332</v>
      </c>
    </row>
    <row r="303" spans="1:6" ht="40.9" customHeight="1">
      <c r="A303" s="348" t="s">
        <v>2613</v>
      </c>
      <c r="B303" s="1147" t="s">
        <v>2614</v>
      </c>
      <c r="C303" s="1147"/>
      <c r="D303" s="1147"/>
      <c r="E303" s="1147"/>
      <c r="F303" s="500" t="s">
        <v>2334</v>
      </c>
    </row>
    <row r="304" spans="1:6" ht="15" customHeight="1">
      <c r="A304" s="1146" t="s">
        <v>2335</v>
      </c>
      <c r="B304" s="1146"/>
      <c r="C304" s="1146"/>
      <c r="D304" s="1146"/>
      <c r="E304" s="1146"/>
      <c r="F304" s="1146"/>
    </row>
    <row r="305" spans="1:6" ht="30">
      <c r="A305" s="501" t="s">
        <v>11</v>
      </c>
      <c r="B305" s="517" t="s">
        <v>2336</v>
      </c>
      <c r="C305" s="501" t="s">
        <v>2337</v>
      </c>
      <c r="D305" s="501" t="s">
        <v>16</v>
      </c>
      <c r="E305" s="501" t="s">
        <v>2338</v>
      </c>
      <c r="F305" s="501" t="s">
        <v>2339</v>
      </c>
    </row>
    <row r="306" spans="1:6" ht="30.6" customHeight="1">
      <c r="A306" s="502" t="s">
        <v>2615</v>
      </c>
      <c r="B306" s="492" t="s">
        <v>1438</v>
      </c>
      <c r="C306" s="348" t="s">
        <v>2334</v>
      </c>
      <c r="D306" s="358">
        <v>1</v>
      </c>
      <c r="E306" s="493">
        <v>13350</v>
      </c>
      <c r="F306" s="493">
        <f>E306*D306</f>
        <v>13350</v>
      </c>
    </row>
    <row r="307" spans="1:6" ht="28.5">
      <c r="A307" s="502" t="s">
        <v>2529</v>
      </c>
      <c r="B307" s="357" t="s">
        <v>1102</v>
      </c>
      <c r="C307" s="348" t="s">
        <v>40</v>
      </c>
      <c r="D307" s="358">
        <v>1</v>
      </c>
      <c r="E307" s="493">
        <v>22.51</v>
      </c>
      <c r="F307" s="493">
        <f>E307*D307</f>
        <v>22.51</v>
      </c>
    </row>
    <row r="308" spans="1:6" ht="28.5">
      <c r="A308" s="502" t="s">
        <v>2342</v>
      </c>
      <c r="B308" s="357" t="s">
        <v>2343</v>
      </c>
      <c r="C308" s="348" t="s">
        <v>40</v>
      </c>
      <c r="D308" s="358">
        <v>1</v>
      </c>
      <c r="E308" s="493">
        <v>14.33</v>
      </c>
      <c r="F308" s="493">
        <f>E308*D308</f>
        <v>14.33</v>
      </c>
    </row>
    <row r="309" spans="1:6" ht="15" customHeight="1">
      <c r="A309" s="1148" t="s">
        <v>2543</v>
      </c>
      <c r="B309" s="1148"/>
      <c r="C309" s="1148"/>
      <c r="D309" s="1148"/>
      <c r="E309" s="1148"/>
      <c r="F309" s="1148"/>
    </row>
    <row r="310" spans="1:6" ht="30">
      <c r="A310" s="490" t="s">
        <v>2350</v>
      </c>
      <c r="B310" s="490" t="s">
        <v>2351</v>
      </c>
      <c r="C310" s="490" t="s">
        <v>2352</v>
      </c>
      <c r="D310" s="494" t="s">
        <v>2353</v>
      </c>
      <c r="E310" s="495" t="s">
        <v>2354</v>
      </c>
      <c r="F310" s="495" t="s">
        <v>2355</v>
      </c>
    </row>
    <row r="311" spans="1:6">
      <c r="A311" s="496"/>
      <c r="B311" s="496">
        <f>SUM(F306:F306)</f>
        <v>13350</v>
      </c>
      <c r="C311" s="496">
        <f>SUM(F307:F308)</f>
        <v>36.840000000000003</v>
      </c>
      <c r="D311" s="496"/>
      <c r="E311" s="497"/>
      <c r="F311" s="498">
        <f>SUM(A311:E311)</f>
        <v>13386.84</v>
      </c>
    </row>
    <row r="313" spans="1:6">
      <c r="A313" s="490" t="s">
        <v>2330</v>
      </c>
      <c r="B313" s="1149" t="s">
        <v>2331</v>
      </c>
      <c r="C313" s="1149"/>
      <c r="D313" s="1149"/>
      <c r="E313" s="1149"/>
      <c r="F313" s="490" t="s">
        <v>2332</v>
      </c>
    </row>
    <row r="314" spans="1:6" ht="30" customHeight="1">
      <c r="A314" s="348" t="s">
        <v>2616</v>
      </c>
      <c r="B314" s="1153" t="s">
        <v>1023</v>
      </c>
      <c r="C314" s="1147"/>
      <c r="D314" s="1147"/>
      <c r="E314" s="1147"/>
      <c r="F314" s="500" t="s">
        <v>2334</v>
      </c>
    </row>
    <row r="315" spans="1:6">
      <c r="A315" s="1146" t="s">
        <v>2335</v>
      </c>
      <c r="B315" s="1146"/>
      <c r="C315" s="1146"/>
      <c r="D315" s="1146"/>
      <c r="E315" s="1146"/>
      <c r="F315" s="1146"/>
    </row>
    <row r="316" spans="1:6" ht="30">
      <c r="A316" s="501" t="s">
        <v>11</v>
      </c>
      <c r="B316" s="517" t="s">
        <v>2336</v>
      </c>
      <c r="C316" s="501" t="s">
        <v>2337</v>
      </c>
      <c r="D316" s="501" t="s">
        <v>16</v>
      </c>
      <c r="E316" s="501" t="s">
        <v>2338</v>
      </c>
      <c r="F316" s="501" t="s">
        <v>2339</v>
      </c>
    </row>
    <row r="317" spans="1:6" ht="28.5">
      <c r="A317" s="502" t="s">
        <v>2379</v>
      </c>
      <c r="B317" s="492" t="s">
        <v>2617</v>
      </c>
      <c r="C317" s="348" t="s">
        <v>2334</v>
      </c>
      <c r="D317" s="358">
        <v>1</v>
      </c>
      <c r="E317" s="493">
        <f>104.29+6.16</f>
        <v>110.45</v>
      </c>
      <c r="F317" s="493">
        <f>E317*D317</f>
        <v>110.45</v>
      </c>
    </row>
    <row r="318" spans="1:6" ht="28.5">
      <c r="A318" s="502" t="s">
        <v>2618</v>
      </c>
      <c r="B318" s="492" t="s">
        <v>2619</v>
      </c>
      <c r="C318" s="348" t="s">
        <v>96</v>
      </c>
      <c r="D318" s="358">
        <v>1</v>
      </c>
      <c r="E318" s="493">
        <v>15.15</v>
      </c>
      <c r="F318" s="493">
        <f t="shared" ref="F318:F320" si="2">E318*D318</f>
        <v>15.15</v>
      </c>
    </row>
    <row r="319" spans="1:6" ht="28.5">
      <c r="A319" s="502" t="s">
        <v>2529</v>
      </c>
      <c r="B319" s="357" t="s">
        <v>1102</v>
      </c>
      <c r="C319" s="348" t="s">
        <v>40</v>
      </c>
      <c r="D319" s="358">
        <v>0.5</v>
      </c>
      <c r="E319" s="493">
        <v>28.21</v>
      </c>
      <c r="F319" s="493">
        <f t="shared" si="2"/>
        <v>14.105</v>
      </c>
    </row>
    <row r="320" spans="1:6" ht="28.5">
      <c r="A320" s="502" t="s">
        <v>2342</v>
      </c>
      <c r="B320" s="357" t="s">
        <v>2343</v>
      </c>
      <c r="C320" s="348" t="s">
        <v>40</v>
      </c>
      <c r="D320" s="358">
        <v>0.5</v>
      </c>
      <c r="E320" s="493">
        <v>18.34</v>
      </c>
      <c r="F320" s="493">
        <f t="shared" si="2"/>
        <v>9.17</v>
      </c>
    </row>
    <row r="321" spans="1:6">
      <c r="A321" s="1148" t="s">
        <v>2543</v>
      </c>
      <c r="B321" s="1148"/>
      <c r="C321" s="1148"/>
      <c r="D321" s="1148"/>
      <c r="E321" s="1148"/>
      <c r="F321" s="1148"/>
    </row>
    <row r="322" spans="1:6" ht="30">
      <c r="A322" s="490" t="s">
        <v>2350</v>
      </c>
      <c r="B322" s="490" t="s">
        <v>2351</v>
      </c>
      <c r="C322" s="490" t="s">
        <v>2352</v>
      </c>
      <c r="D322" s="494" t="s">
        <v>2353</v>
      </c>
      <c r="E322" s="495" t="s">
        <v>2354</v>
      </c>
      <c r="F322" s="495" t="s">
        <v>2355</v>
      </c>
    </row>
    <row r="323" spans="1:6">
      <c r="A323" s="496"/>
      <c r="B323" s="496">
        <f>SUM(F317:F318)</f>
        <v>125.60000000000001</v>
      </c>
      <c r="C323" s="496">
        <f>SUM(F319:F320)</f>
        <v>23.274999999999999</v>
      </c>
      <c r="D323" s="496"/>
      <c r="E323" s="497"/>
      <c r="F323" s="498">
        <f>SUM(A323:E323)</f>
        <v>148.875</v>
      </c>
    </row>
    <row r="331" spans="1:6">
      <c r="B331" t="str">
        <f>UPPER(B332)</f>
        <v>CONJUNTO 2 TOMADAS 10A PRETA DE PISO 4X4 – LATÃO – TPL019</v>
      </c>
    </row>
    <row r="332" spans="1:6">
      <c r="B332" s="291" t="s">
        <v>2620</v>
      </c>
    </row>
  </sheetData>
  <sheetProtection password="8D0B" sheet="1" objects="1" scenarios="1" selectLockedCells="1" selectUnlockedCells="1"/>
  <mergeCells count="115">
    <mergeCell ref="B313:E313"/>
    <mergeCell ref="B314:E314"/>
    <mergeCell ref="A315:F315"/>
    <mergeCell ref="A321:F321"/>
    <mergeCell ref="A1:F1"/>
    <mergeCell ref="B3:E3"/>
    <mergeCell ref="B4:E4"/>
    <mergeCell ref="A5:F5"/>
    <mergeCell ref="A14:F14"/>
    <mergeCell ref="B18:E18"/>
    <mergeCell ref="B19:E19"/>
    <mergeCell ref="A20:F20"/>
    <mergeCell ref="A29:F29"/>
    <mergeCell ref="B33:E33"/>
    <mergeCell ref="B34:E34"/>
    <mergeCell ref="A35:F35"/>
    <mergeCell ref="A43:F43"/>
    <mergeCell ref="A47:F47"/>
    <mergeCell ref="B48:E48"/>
    <mergeCell ref="B49:E49"/>
    <mergeCell ref="A50:F50"/>
    <mergeCell ref="A55:F55"/>
    <mergeCell ref="A59:F59"/>
    <mergeCell ref="B60:E60"/>
    <mergeCell ref="B61:E61"/>
    <mergeCell ref="A62:F62"/>
    <mergeCell ref="A67:F67"/>
    <mergeCell ref="A71:F71"/>
    <mergeCell ref="B72:E72"/>
    <mergeCell ref="B73:E73"/>
    <mergeCell ref="A74:F74"/>
    <mergeCell ref="A79:F79"/>
    <mergeCell ref="A83:F83"/>
    <mergeCell ref="B84:E84"/>
    <mergeCell ref="B85:E85"/>
    <mergeCell ref="A86:F86"/>
    <mergeCell ref="A91:F91"/>
    <mergeCell ref="A95:F95"/>
    <mergeCell ref="A96:F96"/>
    <mergeCell ref="B97:E97"/>
    <mergeCell ref="B98:E98"/>
    <mergeCell ref="A99:F99"/>
    <mergeCell ref="A104:F104"/>
    <mergeCell ref="B108:E108"/>
    <mergeCell ref="B109:E109"/>
    <mergeCell ref="A110:F110"/>
    <mergeCell ref="A114:F114"/>
    <mergeCell ref="B118:E118"/>
    <mergeCell ref="A120:F120"/>
    <mergeCell ref="A125:F125"/>
    <mergeCell ref="B129:E129"/>
    <mergeCell ref="A131:F131"/>
    <mergeCell ref="A136:F136"/>
    <mergeCell ref="B140:E140"/>
    <mergeCell ref="A142:F142"/>
    <mergeCell ref="A147:F147"/>
    <mergeCell ref="B151:E151"/>
    <mergeCell ref="A153:F153"/>
    <mergeCell ref="A158:F158"/>
    <mergeCell ref="B162:E162"/>
    <mergeCell ref="A164:F164"/>
    <mergeCell ref="A169:F169"/>
    <mergeCell ref="B173:E173"/>
    <mergeCell ref="A175:F175"/>
    <mergeCell ref="A180:F180"/>
    <mergeCell ref="A184:F184"/>
    <mergeCell ref="B185:E185"/>
    <mergeCell ref="B186:E186"/>
    <mergeCell ref="A187:F187"/>
    <mergeCell ref="A192:F192"/>
    <mergeCell ref="A195:F195"/>
    <mergeCell ref="B196:E196"/>
    <mergeCell ref="B197:E197"/>
    <mergeCell ref="A198:F198"/>
    <mergeCell ref="A203:F203"/>
    <mergeCell ref="A207:F207"/>
    <mergeCell ref="B208:E208"/>
    <mergeCell ref="B209:E209"/>
    <mergeCell ref="A210:F210"/>
    <mergeCell ref="A216:F216"/>
    <mergeCell ref="A220:F220"/>
    <mergeCell ref="B221:E221"/>
    <mergeCell ref="B222:E222"/>
    <mergeCell ref="A223:F223"/>
    <mergeCell ref="A228:F228"/>
    <mergeCell ref="A232:F232"/>
    <mergeCell ref="B233:E233"/>
    <mergeCell ref="B234:E234"/>
    <mergeCell ref="A235:F235"/>
    <mergeCell ref="A240:F240"/>
    <mergeCell ref="A244:F244"/>
    <mergeCell ref="B245:E245"/>
    <mergeCell ref="B246:E246"/>
    <mergeCell ref="A247:F247"/>
    <mergeCell ref="A252:F252"/>
    <mergeCell ref="B256:E256"/>
    <mergeCell ref="B257:E257"/>
    <mergeCell ref="A258:F258"/>
    <mergeCell ref="A264:F264"/>
    <mergeCell ref="B268:E268"/>
    <mergeCell ref="B269:E269"/>
    <mergeCell ref="A270:F270"/>
    <mergeCell ref="A276:F276"/>
    <mergeCell ref="B280:E280"/>
    <mergeCell ref="B281:E281"/>
    <mergeCell ref="A282:F282"/>
    <mergeCell ref="B303:E303"/>
    <mergeCell ref="A304:F304"/>
    <mergeCell ref="A309:F309"/>
    <mergeCell ref="A287:F287"/>
    <mergeCell ref="B291:E291"/>
    <mergeCell ref="B292:E292"/>
    <mergeCell ref="A293:F293"/>
    <mergeCell ref="A298:F298"/>
    <mergeCell ref="B302:E302"/>
  </mergeCells>
  <printOptions horizontalCentered="1"/>
  <pageMargins left="0.31527777777777777" right="0.31527777777777777" top="0.59027777777777779" bottom="0.59027777777777779" header="0.51180555555555551" footer="0.51180555555555551"/>
  <pageSetup paperSize="9" scale="42" firstPageNumber="0" fitToHeight="4" orientation="portrait" horizontalDpi="300" verticalDpi="300" r:id="rId1"/>
  <headerFooter alignWithMargins="0"/>
  <rowBreaks count="3" manualBreakCount="3">
    <brk id="58" max="16383" man="1"/>
    <brk id="95" max="16383" man="1"/>
    <brk id="128" max="16383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P650"/>
  <sheetViews>
    <sheetView view="pageBreakPreview" zoomScale="60" zoomScaleNormal="70" workbookViewId="0">
      <selection sqref="A1:XFD1048576"/>
    </sheetView>
  </sheetViews>
  <sheetFormatPr defaultColWidth="9.140625" defaultRowHeight="15"/>
  <cols>
    <col min="1" max="1" width="20.7109375" style="1207" customWidth="1"/>
    <col min="2" max="2" width="15.140625" style="1207" customWidth="1"/>
    <col min="3" max="3" width="12.7109375" style="1189" customWidth="1"/>
    <col min="4" max="4" width="67.5703125" style="1189" customWidth="1"/>
    <col min="5" max="5" width="8.5703125" style="1189" customWidth="1"/>
    <col min="6" max="6" width="15.140625" style="1326" customWidth="1"/>
    <col min="7" max="7" width="18.5703125" style="1189" customWidth="1"/>
    <col min="8" max="8" width="17.28515625" style="1189" customWidth="1"/>
    <col min="9" max="9" width="24.42578125" style="1189" customWidth="1"/>
    <col min="10" max="10" width="22.140625" style="1327" customWidth="1"/>
    <col min="11" max="12" width="14.7109375" style="1327" customWidth="1"/>
    <col min="13" max="13" width="12.7109375" style="1320" customWidth="1"/>
    <col min="14" max="14" width="29.28515625" style="1189" customWidth="1"/>
    <col min="15" max="16384" width="9.140625" style="1189"/>
  </cols>
  <sheetData>
    <row r="1" spans="1:15" ht="30" customHeight="1">
      <c r="A1" s="1185" t="s">
        <v>11</v>
      </c>
      <c r="B1" s="1185" t="s">
        <v>12</v>
      </c>
      <c r="C1" s="1185" t="s">
        <v>13</v>
      </c>
      <c r="D1" s="1185" t="s">
        <v>14</v>
      </c>
      <c r="E1" s="1185" t="s">
        <v>15</v>
      </c>
      <c r="F1" s="1186" t="s">
        <v>16</v>
      </c>
      <c r="G1" s="1187" t="s">
        <v>17</v>
      </c>
      <c r="H1" s="1187" t="s">
        <v>18</v>
      </c>
      <c r="I1" s="1188" t="s">
        <v>19</v>
      </c>
      <c r="J1" s="1188" t="s">
        <v>19</v>
      </c>
      <c r="K1" s="1188" t="s">
        <v>20</v>
      </c>
      <c r="L1" s="1188" t="s">
        <v>2731</v>
      </c>
      <c r="M1" s="1188" t="s">
        <v>2732</v>
      </c>
      <c r="N1" s="1189">
        <v>7622360.6433396442</v>
      </c>
    </row>
    <row r="2" spans="1:15" ht="39.75" customHeight="1">
      <c r="A2" s="1190">
        <v>11640</v>
      </c>
      <c r="B2" s="1191" t="s">
        <v>67</v>
      </c>
      <c r="C2" s="1191" t="s">
        <v>189</v>
      </c>
      <c r="D2" s="1192" t="s">
        <v>167</v>
      </c>
      <c r="E2" s="1190" t="s">
        <v>61</v>
      </c>
      <c r="F2" s="1193">
        <v>2439.0477499999993</v>
      </c>
      <c r="G2" s="1194">
        <v>121.98</v>
      </c>
      <c r="H2" s="1195">
        <v>152.47499999999999</v>
      </c>
      <c r="I2" s="1195">
        <v>297515.0445449999</v>
      </c>
      <c r="J2" s="1195">
        <v>371893.80568124988</v>
      </c>
      <c r="K2" s="1196">
        <f t="shared" ref="K2:K65" si="0">J2/$N$1</f>
        <v>4.8789846490169368E-2</v>
      </c>
      <c r="L2" s="1196">
        <f>K2</f>
        <v>4.8789846490169368E-2</v>
      </c>
      <c r="M2" s="1197" t="s">
        <v>2317</v>
      </c>
    </row>
    <row r="3" spans="1:15" ht="30" customHeight="1">
      <c r="A3" s="1190">
        <v>77</v>
      </c>
      <c r="B3" s="1191" t="s">
        <v>67</v>
      </c>
      <c r="C3" s="1191" t="s">
        <v>144</v>
      </c>
      <c r="D3" s="1192" t="s">
        <v>145</v>
      </c>
      <c r="E3" s="1190" t="s">
        <v>109</v>
      </c>
      <c r="F3" s="1198">
        <v>1170.5374999999999</v>
      </c>
      <c r="G3" s="1194">
        <v>169.54</v>
      </c>
      <c r="H3" s="1195">
        <v>211.92499999999998</v>
      </c>
      <c r="I3" s="1195">
        <v>198452.92774999997</v>
      </c>
      <c r="J3" s="1195">
        <v>248066.15968749995</v>
      </c>
      <c r="K3" s="1196">
        <f t="shared" si="0"/>
        <v>3.2544531975702055E-2</v>
      </c>
      <c r="L3" s="1196">
        <f>K3+L2</f>
        <v>8.1334378465871424E-2</v>
      </c>
      <c r="M3" s="1197" t="s">
        <v>2317</v>
      </c>
      <c r="N3" s="1189" t="str">
        <f>UPPER(N2)</f>
        <v/>
      </c>
    </row>
    <row r="4" spans="1:15" ht="16.149999999999999" customHeight="1">
      <c r="A4" s="1190" t="s">
        <v>2621</v>
      </c>
      <c r="B4" s="1191"/>
      <c r="C4" s="1199" t="s">
        <v>305</v>
      </c>
      <c r="D4" s="1200" t="s">
        <v>306</v>
      </c>
      <c r="E4" s="1201" t="s">
        <v>61</v>
      </c>
      <c r="F4" s="1202">
        <v>182.02899999999997</v>
      </c>
      <c r="G4" s="1194">
        <v>988.85342445434537</v>
      </c>
      <c r="H4" s="1203">
        <v>1236.0667805679318</v>
      </c>
      <c r="I4" s="1195">
        <v>180000</v>
      </c>
      <c r="J4" s="1203">
        <v>225000.00000000003</v>
      </c>
      <c r="K4" s="1196">
        <f t="shared" si="0"/>
        <v>2.9518414376864099E-2</v>
      </c>
      <c r="L4" s="1196">
        <f t="shared" ref="L4:L67" si="1">K4+L3</f>
        <v>0.11085279284273553</v>
      </c>
      <c r="M4" s="1197" t="s">
        <v>2317</v>
      </c>
    </row>
    <row r="5" spans="1:15" ht="16.149999999999999" customHeight="1">
      <c r="A5" s="1190">
        <v>2376</v>
      </c>
      <c r="B5" s="1191" t="s">
        <v>67</v>
      </c>
      <c r="C5" s="1191" t="s">
        <v>239</v>
      </c>
      <c r="D5" s="1192" t="s">
        <v>240</v>
      </c>
      <c r="E5" s="1190" t="s">
        <v>61</v>
      </c>
      <c r="F5" s="1193">
        <v>607.04717000000005</v>
      </c>
      <c r="G5" s="1194">
        <v>282.75</v>
      </c>
      <c r="H5" s="1194">
        <v>353.4375</v>
      </c>
      <c r="I5" s="1195">
        <v>171642.5873175</v>
      </c>
      <c r="J5" s="1195">
        <v>214553.23414687501</v>
      </c>
      <c r="K5" s="1196">
        <f t="shared" si="0"/>
        <v>2.8147872317528015E-2</v>
      </c>
      <c r="L5" s="1196">
        <f t="shared" si="1"/>
        <v>0.13900066516026355</v>
      </c>
      <c r="M5" s="1197" t="s">
        <v>2317</v>
      </c>
    </row>
    <row r="6" spans="1:15" ht="16.149999999999999" customHeight="1">
      <c r="A6" s="1190">
        <v>90777</v>
      </c>
      <c r="B6" s="1191" t="s">
        <v>26</v>
      </c>
      <c r="C6" s="1191" t="s">
        <v>27</v>
      </c>
      <c r="D6" s="1192" t="s">
        <v>28</v>
      </c>
      <c r="E6" s="1190" t="s">
        <v>29</v>
      </c>
      <c r="F6" s="1193">
        <v>1408</v>
      </c>
      <c r="G6" s="1194">
        <v>116.49</v>
      </c>
      <c r="H6" s="1195">
        <v>145.61249999999998</v>
      </c>
      <c r="I6" s="1195">
        <v>164017.91999999998</v>
      </c>
      <c r="J6" s="1195">
        <v>205022.39999999997</v>
      </c>
      <c r="K6" s="1196">
        <f t="shared" si="0"/>
        <v>2.6897494043285244E-2</v>
      </c>
      <c r="L6" s="1196">
        <f t="shared" si="1"/>
        <v>0.16589815920354878</v>
      </c>
      <c r="M6" s="1197" t="s">
        <v>2317</v>
      </c>
    </row>
    <row r="7" spans="1:15" ht="16.149999999999999" customHeight="1">
      <c r="A7" s="1190">
        <v>11461</v>
      </c>
      <c r="B7" s="1191" t="s">
        <v>67</v>
      </c>
      <c r="C7" s="1191" t="s">
        <v>395</v>
      </c>
      <c r="D7" s="1192" t="s">
        <v>396</v>
      </c>
      <c r="E7" s="1201" t="s">
        <v>61</v>
      </c>
      <c r="F7" s="1202">
        <v>1760.15</v>
      </c>
      <c r="G7" s="1194">
        <v>87.65</v>
      </c>
      <c r="H7" s="1194">
        <v>109.5625</v>
      </c>
      <c r="I7" s="1195">
        <v>154277.14750000002</v>
      </c>
      <c r="J7" s="1195">
        <v>192846.43437500001</v>
      </c>
      <c r="K7" s="1196">
        <f t="shared" si="0"/>
        <v>2.5300093159919903E-2</v>
      </c>
      <c r="L7" s="1196">
        <f t="shared" si="1"/>
        <v>0.19119825236346868</v>
      </c>
      <c r="M7" s="1197" t="s">
        <v>2317</v>
      </c>
    </row>
    <row r="8" spans="1:15" ht="16.149999999999999" customHeight="1">
      <c r="A8" s="1190">
        <v>7393</v>
      </c>
      <c r="B8" s="1191" t="s">
        <v>67</v>
      </c>
      <c r="C8" s="1190" t="s">
        <v>221</v>
      </c>
      <c r="D8" s="1192" t="s">
        <v>222</v>
      </c>
      <c r="E8" s="1190" t="s">
        <v>61</v>
      </c>
      <c r="F8" s="1198">
        <v>861.50809999999979</v>
      </c>
      <c r="G8" s="1194">
        <v>162.68</v>
      </c>
      <c r="H8" s="1195">
        <v>203.35000000000002</v>
      </c>
      <c r="I8" s="1195">
        <v>140150.13770799997</v>
      </c>
      <c r="J8" s="1195">
        <v>175187.67213499997</v>
      </c>
      <c r="K8" s="1196">
        <f t="shared" si="0"/>
        <v>2.2983387999107274E-2</v>
      </c>
      <c r="L8" s="1196">
        <f t="shared" si="1"/>
        <v>0.21418164036257595</v>
      </c>
      <c r="M8" s="1197" t="s">
        <v>2317</v>
      </c>
      <c r="N8" s="1204" t="s">
        <v>223</v>
      </c>
    </row>
    <row r="9" spans="1:15" ht="57">
      <c r="A9" s="1190">
        <v>87530</v>
      </c>
      <c r="B9" s="1191" t="s">
        <v>26</v>
      </c>
      <c r="C9" s="1191" t="s">
        <v>341</v>
      </c>
      <c r="D9" s="1200" t="s">
        <v>342</v>
      </c>
      <c r="E9" s="1201" t="s">
        <v>61</v>
      </c>
      <c r="F9" s="1202">
        <v>3618.9312050000008</v>
      </c>
      <c r="G9" s="1194">
        <v>38.65</v>
      </c>
      <c r="H9" s="1194">
        <v>48.3125</v>
      </c>
      <c r="I9" s="1195">
        <v>139871.69107325003</v>
      </c>
      <c r="J9" s="1195">
        <v>174839.61384156253</v>
      </c>
      <c r="K9" s="1196">
        <f t="shared" si="0"/>
        <v>2.2937725203849537E-2</v>
      </c>
      <c r="L9" s="1196">
        <f t="shared" si="1"/>
        <v>0.23711936556642549</v>
      </c>
      <c r="M9" s="1197" t="s">
        <v>2317</v>
      </c>
    </row>
    <row r="10" spans="1:15" ht="57">
      <c r="A10" s="1190">
        <v>103328</v>
      </c>
      <c r="B10" s="1191" t="s">
        <v>26</v>
      </c>
      <c r="C10" s="1191" t="s">
        <v>235</v>
      </c>
      <c r="D10" s="1192" t="s">
        <v>236</v>
      </c>
      <c r="E10" s="1190" t="s">
        <v>61</v>
      </c>
      <c r="F10" s="1198">
        <v>1739.8252769999997</v>
      </c>
      <c r="G10" s="1194">
        <v>79.75</v>
      </c>
      <c r="H10" s="1194">
        <v>99.6875</v>
      </c>
      <c r="I10" s="1195">
        <v>138751.06584074997</v>
      </c>
      <c r="J10" s="1195">
        <v>173438.83230093747</v>
      </c>
      <c r="K10" s="1196">
        <f t="shared" si="0"/>
        <v>2.2753952537326726E-2</v>
      </c>
      <c r="L10" s="1196">
        <f t="shared" si="1"/>
        <v>0.25987331810375219</v>
      </c>
      <c r="M10" s="1197" t="s">
        <v>2317</v>
      </c>
    </row>
    <row r="11" spans="1:15" ht="71.25">
      <c r="A11" s="1190">
        <v>7767</v>
      </c>
      <c r="B11" s="1191" t="s">
        <v>67</v>
      </c>
      <c r="C11" s="1191" t="s">
        <v>387</v>
      </c>
      <c r="D11" s="1200" t="s">
        <v>388</v>
      </c>
      <c r="E11" s="1201" t="s">
        <v>61</v>
      </c>
      <c r="F11" s="1202">
        <v>825.72324999999989</v>
      </c>
      <c r="G11" s="1194">
        <v>154.69</v>
      </c>
      <c r="H11" s="1194">
        <v>193.36250000000001</v>
      </c>
      <c r="I11" s="1195">
        <v>127731.12954249998</v>
      </c>
      <c r="J11" s="1195">
        <v>159663.91192812499</v>
      </c>
      <c r="K11" s="1196">
        <f t="shared" si="0"/>
        <v>2.0946780059224564E-2</v>
      </c>
      <c r="L11" s="1196">
        <f t="shared" si="1"/>
        <v>0.28082009816297676</v>
      </c>
      <c r="M11" s="1197" t="s">
        <v>2317</v>
      </c>
    </row>
    <row r="12" spans="1:15" ht="42.75">
      <c r="A12" s="1190">
        <v>98546</v>
      </c>
      <c r="B12" s="1191" t="s">
        <v>26</v>
      </c>
      <c r="C12" s="1191" t="s">
        <v>283</v>
      </c>
      <c r="D12" s="1200" t="s">
        <v>284</v>
      </c>
      <c r="E12" s="1201" t="s">
        <v>61</v>
      </c>
      <c r="F12" s="1202">
        <v>991.01685000000009</v>
      </c>
      <c r="G12" s="1194">
        <v>127.86</v>
      </c>
      <c r="H12" s="1195">
        <v>159.82499999999999</v>
      </c>
      <c r="I12" s="1195">
        <v>126711.41444100002</v>
      </c>
      <c r="J12" s="1195">
        <v>158389.26805124999</v>
      </c>
      <c r="K12" s="1196">
        <f t="shared" si="0"/>
        <v>2.0779555765266661E-2</v>
      </c>
      <c r="L12" s="1196">
        <f t="shared" si="1"/>
        <v>0.30159965392824339</v>
      </c>
      <c r="M12" s="1197" t="s">
        <v>2317</v>
      </c>
    </row>
    <row r="13" spans="1:15" ht="57">
      <c r="A13" s="1190">
        <v>12385</v>
      </c>
      <c r="B13" s="1190" t="s">
        <v>67</v>
      </c>
      <c r="C13" s="1191" t="s">
        <v>1303</v>
      </c>
      <c r="D13" s="1192" t="s">
        <v>1304</v>
      </c>
      <c r="E13" s="1201" t="s">
        <v>246</v>
      </c>
      <c r="F13" s="1202">
        <v>96.621200000000002</v>
      </c>
      <c r="G13" s="1205">
        <v>1277.05</v>
      </c>
      <c r="H13" s="1194">
        <v>1596.3125</v>
      </c>
      <c r="I13" s="1194">
        <v>123390.10346</v>
      </c>
      <c r="J13" s="1194">
        <v>154237.62932500002</v>
      </c>
      <c r="K13" s="1196">
        <f t="shared" si="0"/>
        <v>2.0234890021868956E-2</v>
      </c>
      <c r="L13" s="1196">
        <f t="shared" si="1"/>
        <v>0.32183454395011235</v>
      </c>
      <c r="M13" s="1197" t="s">
        <v>2317</v>
      </c>
      <c r="N13" s="1206"/>
      <c r="O13" s="1206"/>
    </row>
    <row r="14" spans="1:15" s="1207" customFormat="1" ht="28.5">
      <c r="A14" s="1190">
        <v>91677</v>
      </c>
      <c r="B14" s="1191" t="s">
        <v>26</v>
      </c>
      <c r="C14" s="1191" t="s">
        <v>30</v>
      </c>
      <c r="D14" s="1192" t="s">
        <v>31</v>
      </c>
      <c r="E14" s="1190" t="s">
        <v>29</v>
      </c>
      <c r="F14" s="1193">
        <v>1056</v>
      </c>
      <c r="G14" s="1194">
        <v>112.16</v>
      </c>
      <c r="H14" s="1195">
        <v>140.19999999999999</v>
      </c>
      <c r="I14" s="1195">
        <v>118440.95999999999</v>
      </c>
      <c r="J14" s="1195">
        <v>148051.19999999998</v>
      </c>
      <c r="K14" s="1196">
        <f t="shared" si="0"/>
        <v>1.9423274091519914E-2</v>
      </c>
      <c r="L14" s="1196">
        <f t="shared" si="1"/>
        <v>0.34125781804163224</v>
      </c>
      <c r="M14" s="1197" t="s">
        <v>2317</v>
      </c>
      <c r="N14" s="1189"/>
      <c r="O14" s="1189"/>
    </row>
    <row r="15" spans="1:15" s="1207" customFormat="1" ht="85.5">
      <c r="A15" s="1190">
        <v>73467</v>
      </c>
      <c r="B15" s="1191" t="s">
        <v>26</v>
      </c>
      <c r="C15" s="1191" t="s">
        <v>47</v>
      </c>
      <c r="D15" s="1208" t="s">
        <v>48</v>
      </c>
      <c r="E15" s="1190" t="s">
        <v>49</v>
      </c>
      <c r="F15" s="1193">
        <v>520</v>
      </c>
      <c r="G15" s="1194">
        <v>210.61</v>
      </c>
      <c r="H15" s="1195">
        <v>263.26250000000005</v>
      </c>
      <c r="I15" s="1195">
        <v>109517.20000000001</v>
      </c>
      <c r="J15" s="1195">
        <v>136896.50000000003</v>
      </c>
      <c r="K15" s="1196">
        <f t="shared" si="0"/>
        <v>1.795985606107723E-2</v>
      </c>
      <c r="L15" s="1196">
        <f t="shared" si="1"/>
        <v>0.35921767410270949</v>
      </c>
      <c r="M15" s="1197" t="s">
        <v>2317</v>
      </c>
      <c r="N15" s="1189"/>
      <c r="O15" s="1189"/>
    </row>
    <row r="16" spans="1:15" ht="43.9" customHeight="1">
      <c r="A16" s="1190">
        <v>103761</v>
      </c>
      <c r="B16" s="1191" t="s">
        <v>26</v>
      </c>
      <c r="C16" s="1191" t="s">
        <v>190</v>
      </c>
      <c r="D16" s="1192" t="s">
        <v>191</v>
      </c>
      <c r="E16" s="1190" t="s">
        <v>61</v>
      </c>
      <c r="F16" s="1198">
        <v>1220.8579</v>
      </c>
      <c r="G16" s="1194">
        <v>80.92</v>
      </c>
      <c r="H16" s="1195">
        <v>101.15</v>
      </c>
      <c r="I16" s="1195">
        <v>98791.821268</v>
      </c>
      <c r="J16" s="1195">
        <v>123489.776585</v>
      </c>
      <c r="K16" s="1196">
        <f t="shared" si="0"/>
        <v>1.6200988429077329E-2</v>
      </c>
      <c r="L16" s="1196">
        <f t="shared" si="1"/>
        <v>0.3754186625317868</v>
      </c>
      <c r="M16" s="1197" t="s">
        <v>2317</v>
      </c>
    </row>
    <row r="17" spans="1:14" ht="42.75">
      <c r="A17" s="1209">
        <v>95426</v>
      </c>
      <c r="B17" s="1191" t="s">
        <v>26</v>
      </c>
      <c r="C17" s="1191" t="s">
        <v>148</v>
      </c>
      <c r="D17" s="1192" t="s">
        <v>149</v>
      </c>
      <c r="E17" s="1190" t="s">
        <v>120</v>
      </c>
      <c r="F17" s="1193">
        <v>59493.824999999997</v>
      </c>
      <c r="G17" s="1205">
        <v>1.6</v>
      </c>
      <c r="H17" s="1195">
        <v>2</v>
      </c>
      <c r="I17" s="1195">
        <v>95190.12</v>
      </c>
      <c r="J17" s="1195">
        <v>118987.65</v>
      </c>
      <c r="K17" s="1196">
        <f t="shared" si="0"/>
        <v>1.5610341148574545E-2</v>
      </c>
      <c r="L17" s="1196">
        <f t="shared" si="1"/>
        <v>0.39102900368036136</v>
      </c>
      <c r="M17" s="1197" t="s">
        <v>2317</v>
      </c>
    </row>
    <row r="18" spans="1:14" ht="25.5" customHeight="1">
      <c r="A18" s="1190">
        <v>95876</v>
      </c>
      <c r="B18" s="1191" t="s">
        <v>26</v>
      </c>
      <c r="C18" s="1191" t="s">
        <v>118</v>
      </c>
      <c r="D18" s="1192" t="s">
        <v>119</v>
      </c>
      <c r="E18" s="1190" t="s">
        <v>120</v>
      </c>
      <c r="F18" s="1210">
        <v>55134.835980000003</v>
      </c>
      <c r="G18" s="1211">
        <v>1.71</v>
      </c>
      <c r="H18" s="1194">
        <v>2.1375000000000002</v>
      </c>
      <c r="I18" s="1195">
        <v>94280.569525800005</v>
      </c>
      <c r="J18" s="1195">
        <v>117850.71190725002</v>
      </c>
      <c r="K18" s="1196">
        <f t="shared" si="0"/>
        <v>1.5461182883051722E-2</v>
      </c>
      <c r="L18" s="1196">
        <f t="shared" si="1"/>
        <v>0.40649018656341307</v>
      </c>
      <c r="M18" s="1197" t="s">
        <v>2317</v>
      </c>
    </row>
    <row r="19" spans="1:14" ht="42.75">
      <c r="A19" s="1191">
        <v>87262</v>
      </c>
      <c r="B19" s="1212" t="s">
        <v>26</v>
      </c>
      <c r="C19" s="1191" t="s">
        <v>405</v>
      </c>
      <c r="D19" s="1200" t="s">
        <v>406</v>
      </c>
      <c r="E19" s="1201" t="s">
        <v>61</v>
      </c>
      <c r="F19" s="1202">
        <v>530.56320000000005</v>
      </c>
      <c r="G19" s="1194">
        <v>172.28</v>
      </c>
      <c r="H19" s="1194">
        <v>215.35</v>
      </c>
      <c r="I19" s="1195">
        <v>91405.428096000003</v>
      </c>
      <c r="J19" s="1195">
        <v>114256.78512000002</v>
      </c>
      <c r="K19" s="1196">
        <f t="shared" si="0"/>
        <v>1.4989685015735466E-2</v>
      </c>
      <c r="L19" s="1196">
        <f t="shared" si="1"/>
        <v>0.42147987157914851</v>
      </c>
      <c r="M19" s="1197" t="s">
        <v>2317</v>
      </c>
    </row>
    <row r="20" spans="1:14" ht="42" customHeight="1">
      <c r="A20" s="1190">
        <v>7138</v>
      </c>
      <c r="B20" s="1191" t="s">
        <v>67</v>
      </c>
      <c r="C20" s="1191" t="s">
        <v>1167</v>
      </c>
      <c r="D20" s="1192" t="s">
        <v>1166</v>
      </c>
      <c r="E20" s="1190" t="s">
        <v>246</v>
      </c>
      <c r="F20" s="1198">
        <v>7533.0959999999995</v>
      </c>
      <c r="G20" s="1194">
        <v>11.95</v>
      </c>
      <c r="H20" s="1195">
        <v>14.9375</v>
      </c>
      <c r="I20" s="1195">
        <v>90020.497199999983</v>
      </c>
      <c r="J20" s="1195">
        <v>112525.62149999999</v>
      </c>
      <c r="K20" s="1196">
        <f t="shared" si="0"/>
        <v>1.4762568548671855E-2</v>
      </c>
      <c r="L20" s="1196">
        <f t="shared" si="1"/>
        <v>0.43624244012782037</v>
      </c>
      <c r="M20" s="1197" t="s">
        <v>2317</v>
      </c>
    </row>
    <row r="21" spans="1:14" ht="36.75" customHeight="1">
      <c r="A21" s="1190">
        <v>93593</v>
      </c>
      <c r="B21" s="1191" t="s">
        <v>26</v>
      </c>
      <c r="C21" s="1191" t="s">
        <v>121</v>
      </c>
      <c r="D21" s="1192" t="s">
        <v>122</v>
      </c>
      <c r="E21" s="1190" t="s">
        <v>120</v>
      </c>
      <c r="F21" s="1210">
        <v>128647.95062</v>
      </c>
      <c r="G21" s="1211">
        <v>0.69</v>
      </c>
      <c r="H21" s="1194">
        <v>0.86249999999999993</v>
      </c>
      <c r="I21" s="1195">
        <v>88767.085927799999</v>
      </c>
      <c r="J21" s="1195">
        <v>110958.85740974999</v>
      </c>
      <c r="K21" s="1196">
        <f t="shared" si="0"/>
        <v>1.4557020141352787E-2</v>
      </c>
      <c r="L21" s="1196">
        <f t="shared" si="1"/>
        <v>0.45079946026917317</v>
      </c>
      <c r="M21" s="1197" t="s">
        <v>2317</v>
      </c>
    </row>
    <row r="22" spans="1:14" ht="33" customHeight="1">
      <c r="A22" s="1190">
        <v>9035</v>
      </c>
      <c r="B22" s="1191" t="s">
        <v>67</v>
      </c>
      <c r="C22" s="1191" t="s">
        <v>322</v>
      </c>
      <c r="D22" s="1200" t="s">
        <v>323</v>
      </c>
      <c r="E22" s="1201" t="s">
        <v>61</v>
      </c>
      <c r="F22" s="1202">
        <v>207.92470800000001</v>
      </c>
      <c r="G22" s="1194">
        <v>422.28</v>
      </c>
      <c r="H22" s="1195">
        <v>527.84999999999991</v>
      </c>
      <c r="I22" s="1195">
        <v>87802.445694239999</v>
      </c>
      <c r="J22" s="1203">
        <v>109753.05711779998</v>
      </c>
      <c r="K22" s="1196">
        <f t="shared" si="0"/>
        <v>1.439882764058157E-2</v>
      </c>
      <c r="L22" s="1196">
        <f t="shared" si="1"/>
        <v>0.46519828790975476</v>
      </c>
      <c r="M22" s="1197" t="s">
        <v>2317</v>
      </c>
      <c r="N22" s="1213" t="s">
        <v>324</v>
      </c>
    </row>
    <row r="23" spans="1:14" ht="33" customHeight="1">
      <c r="A23" s="1190">
        <v>5045</v>
      </c>
      <c r="B23" s="1191" t="s">
        <v>67</v>
      </c>
      <c r="C23" s="1191" t="s">
        <v>371</v>
      </c>
      <c r="D23" s="1200" t="s">
        <v>372</v>
      </c>
      <c r="E23" s="1201" t="s">
        <v>61</v>
      </c>
      <c r="F23" s="1202">
        <v>530.43280000000016</v>
      </c>
      <c r="G23" s="1214">
        <v>163.16</v>
      </c>
      <c r="H23" s="1215">
        <v>203.95</v>
      </c>
      <c r="I23" s="1195">
        <v>86545.415648000024</v>
      </c>
      <c r="J23" s="1195">
        <v>108181.76956000003</v>
      </c>
      <c r="K23" s="1196">
        <f t="shared" si="0"/>
        <v>1.4192685786197793E-2</v>
      </c>
      <c r="L23" s="1196">
        <f t="shared" si="1"/>
        <v>0.47939097369595257</v>
      </c>
      <c r="M23" s="1197" t="s">
        <v>2317</v>
      </c>
    </row>
    <row r="24" spans="1:14" ht="45.75" customHeight="1">
      <c r="A24" s="1190">
        <v>11640</v>
      </c>
      <c r="B24" s="1191" t="s">
        <v>67</v>
      </c>
      <c r="C24" s="1191" t="s">
        <v>166</v>
      </c>
      <c r="D24" s="1192" t="s">
        <v>167</v>
      </c>
      <c r="E24" s="1190" t="s">
        <v>61</v>
      </c>
      <c r="F24" s="1198">
        <v>893.94859999999971</v>
      </c>
      <c r="G24" s="1194">
        <v>121.98</v>
      </c>
      <c r="H24" s="1195">
        <v>119.11</v>
      </c>
      <c r="I24" s="1195">
        <v>109043.85022799997</v>
      </c>
      <c r="J24" s="1195">
        <v>106478.21774599997</v>
      </c>
      <c r="K24" s="1196">
        <f t="shared" si="0"/>
        <v>1.3969191793495071E-2</v>
      </c>
      <c r="L24" s="1196">
        <f t="shared" si="1"/>
        <v>0.49336016548944767</v>
      </c>
      <c r="M24" s="1197" t="s">
        <v>2317</v>
      </c>
    </row>
    <row r="25" spans="1:14" ht="28.5">
      <c r="A25" s="1216">
        <v>2990</v>
      </c>
      <c r="B25" s="1217" t="s">
        <v>67</v>
      </c>
      <c r="C25" s="1191" t="s">
        <v>700</v>
      </c>
      <c r="D25" s="1192" t="s">
        <v>701</v>
      </c>
      <c r="E25" s="1190" t="s">
        <v>55</v>
      </c>
      <c r="F25" s="1198">
        <v>176</v>
      </c>
      <c r="G25" s="1218">
        <v>449.81</v>
      </c>
      <c r="H25" s="1195">
        <v>562.26250000000005</v>
      </c>
      <c r="I25" s="1195">
        <v>79166.559999999998</v>
      </c>
      <c r="J25" s="1195">
        <v>98958.200000000012</v>
      </c>
      <c r="K25" s="1196">
        <f t="shared" si="0"/>
        <v>1.2982618460393745E-2</v>
      </c>
      <c r="L25" s="1196">
        <f t="shared" si="1"/>
        <v>0.50634278394984145</v>
      </c>
      <c r="M25" s="1197" t="s">
        <v>2317</v>
      </c>
    </row>
    <row r="26" spans="1:14" ht="28.5">
      <c r="A26" s="1190" t="s">
        <v>706</v>
      </c>
      <c r="B26" s="1217"/>
      <c r="C26" s="1191" t="s">
        <v>707</v>
      </c>
      <c r="D26" s="1192" t="s">
        <v>708</v>
      </c>
      <c r="E26" s="1190" t="s">
        <v>246</v>
      </c>
      <c r="F26" s="1198">
        <v>348</v>
      </c>
      <c r="G26" s="1194">
        <v>212.06</v>
      </c>
      <c r="H26" s="1195">
        <v>265.07499999999999</v>
      </c>
      <c r="I26" s="1195">
        <v>73796.88</v>
      </c>
      <c r="J26" s="1195">
        <v>92246.099999999991</v>
      </c>
      <c r="K26" s="1196">
        <f t="shared" si="0"/>
        <v>1.2102038241998412E-2</v>
      </c>
      <c r="L26" s="1196">
        <f t="shared" si="1"/>
        <v>0.51844482219183985</v>
      </c>
      <c r="M26" s="1197" t="s">
        <v>2317</v>
      </c>
    </row>
    <row r="27" spans="1:14" ht="28.5">
      <c r="A27" s="1190">
        <v>105</v>
      </c>
      <c r="B27" s="1191" t="s">
        <v>67</v>
      </c>
      <c r="C27" s="1191" t="s">
        <v>185</v>
      </c>
      <c r="D27" s="1200" t="s">
        <v>186</v>
      </c>
      <c r="E27" s="1190" t="s">
        <v>109</v>
      </c>
      <c r="F27" s="1198">
        <v>126.62337250000006</v>
      </c>
      <c r="G27" s="1219">
        <v>571.16999999999996</v>
      </c>
      <c r="H27" s="1195">
        <v>713.96249999999998</v>
      </c>
      <c r="I27" s="1195">
        <v>72323.471670825034</v>
      </c>
      <c r="J27" s="1195">
        <v>90404.339588531293</v>
      </c>
      <c r="K27" s="1196">
        <f t="shared" si="0"/>
        <v>1.186041225529336E-2</v>
      </c>
      <c r="L27" s="1196">
        <f t="shared" si="1"/>
        <v>0.53030523444713318</v>
      </c>
      <c r="M27" s="1197" t="s">
        <v>2317</v>
      </c>
    </row>
    <row r="28" spans="1:14" ht="57">
      <c r="A28" s="1190">
        <v>87777</v>
      </c>
      <c r="B28" s="1191" t="s">
        <v>26</v>
      </c>
      <c r="C28" s="1191" t="s">
        <v>339</v>
      </c>
      <c r="D28" s="1200" t="s">
        <v>340</v>
      </c>
      <c r="E28" s="1201" t="s">
        <v>61</v>
      </c>
      <c r="F28" s="1202">
        <v>1251.5143449999998</v>
      </c>
      <c r="G28" s="1194">
        <v>52.13</v>
      </c>
      <c r="H28" s="1194">
        <v>65.162500000000009</v>
      </c>
      <c r="I28" s="1195">
        <v>65241.44280484999</v>
      </c>
      <c r="J28" s="1195">
        <v>81551.803506062497</v>
      </c>
      <c r="K28" s="1196">
        <f t="shared" si="0"/>
        <v>1.0699021906989115E-2</v>
      </c>
      <c r="L28" s="1196">
        <f t="shared" si="1"/>
        <v>0.5410042563541223</v>
      </c>
      <c r="M28" s="1197" t="s">
        <v>2317</v>
      </c>
    </row>
    <row r="29" spans="1:14">
      <c r="A29" s="1190">
        <v>88326</v>
      </c>
      <c r="B29" s="1191" t="s">
        <v>26</v>
      </c>
      <c r="C29" s="1191" t="s">
        <v>38</v>
      </c>
      <c r="D29" s="1192" t="s">
        <v>39</v>
      </c>
      <c r="E29" s="1190" t="s">
        <v>40</v>
      </c>
      <c r="F29" s="1193">
        <v>2880</v>
      </c>
      <c r="G29" s="1194">
        <v>22.4</v>
      </c>
      <c r="H29" s="1195">
        <v>28</v>
      </c>
      <c r="I29" s="1195">
        <v>64511.999999999993</v>
      </c>
      <c r="J29" s="1195">
        <v>80640</v>
      </c>
      <c r="K29" s="1196">
        <f t="shared" si="0"/>
        <v>1.0579399712668091E-2</v>
      </c>
      <c r="L29" s="1196">
        <f t="shared" si="1"/>
        <v>0.55158365606679038</v>
      </c>
      <c r="M29" s="1197" t="s">
        <v>2317</v>
      </c>
    </row>
    <row r="30" spans="1:14" ht="57">
      <c r="A30" s="1190" t="s">
        <v>2358</v>
      </c>
      <c r="B30" s="1191" t="s">
        <v>67</v>
      </c>
      <c r="C30" s="1191" t="s">
        <v>351</v>
      </c>
      <c r="D30" s="1200" t="s">
        <v>2359</v>
      </c>
      <c r="E30" s="1201" t="s">
        <v>61</v>
      </c>
      <c r="F30" s="1202">
        <v>903.47873550000008</v>
      </c>
      <c r="G30" s="1194">
        <v>68.959500000000006</v>
      </c>
      <c r="H30" s="1194">
        <v>86.199375000000003</v>
      </c>
      <c r="I30" s="1195">
        <v>62303.441860712264</v>
      </c>
      <c r="J30" s="1195">
        <v>77879.302325890327</v>
      </c>
      <c r="K30" s="1196">
        <f t="shared" si="0"/>
        <v>1.0217215633052027E-2</v>
      </c>
      <c r="L30" s="1196">
        <f t="shared" si="1"/>
        <v>0.56180087169984239</v>
      </c>
      <c r="M30" s="1197" t="s">
        <v>2317</v>
      </c>
    </row>
    <row r="31" spans="1:14" ht="71.25">
      <c r="A31" s="1190">
        <v>7289</v>
      </c>
      <c r="B31" s="1191" t="s">
        <v>67</v>
      </c>
      <c r="C31" s="1191" t="s">
        <v>1235</v>
      </c>
      <c r="D31" s="1192" t="s">
        <v>1236</v>
      </c>
      <c r="E31" s="1201" t="s">
        <v>246</v>
      </c>
      <c r="F31" s="1198">
        <v>268.07000000000005</v>
      </c>
      <c r="G31" s="1194">
        <v>228.46</v>
      </c>
      <c r="H31" s="1195">
        <v>285.57499999999999</v>
      </c>
      <c r="I31" s="1195">
        <v>61243.272200000014</v>
      </c>
      <c r="J31" s="1195">
        <v>76554.090250000008</v>
      </c>
      <c r="K31" s="1196">
        <f t="shared" si="0"/>
        <v>1.004335714774823E-2</v>
      </c>
      <c r="L31" s="1196">
        <f t="shared" si="1"/>
        <v>0.57184422884759056</v>
      </c>
      <c r="M31" s="1197" t="s">
        <v>2317</v>
      </c>
    </row>
    <row r="32" spans="1:14" ht="28.5">
      <c r="A32" s="1190" t="s">
        <v>2431</v>
      </c>
      <c r="B32" s="1191"/>
      <c r="C32" s="1191" t="s">
        <v>370</v>
      </c>
      <c r="D32" s="1200" t="s">
        <v>2432</v>
      </c>
      <c r="E32" s="1201" t="s">
        <v>61</v>
      </c>
      <c r="F32" s="1202">
        <v>279.42619999999999</v>
      </c>
      <c r="G32" s="1205">
        <v>215.19480000000001</v>
      </c>
      <c r="H32" s="1194">
        <v>268.99350000000004</v>
      </c>
      <c r="I32" s="1195">
        <v>60131.065223760001</v>
      </c>
      <c r="J32" s="1195">
        <v>75163.831529700008</v>
      </c>
      <c r="K32" s="1196">
        <f t="shared" si="0"/>
        <v>9.8609650010954997E-3</v>
      </c>
      <c r="L32" s="1196">
        <f t="shared" si="1"/>
        <v>0.58170519384868602</v>
      </c>
      <c r="M32" s="1197" t="s">
        <v>2317</v>
      </c>
    </row>
    <row r="33" spans="1:15" ht="57">
      <c r="A33" s="1190">
        <v>2296</v>
      </c>
      <c r="B33" s="1191" t="s">
        <v>67</v>
      </c>
      <c r="C33" s="1220" t="s">
        <v>433</v>
      </c>
      <c r="D33" s="1200" t="s">
        <v>434</v>
      </c>
      <c r="E33" s="1201" t="s">
        <v>61</v>
      </c>
      <c r="F33" s="1202">
        <v>1486.7212079999999</v>
      </c>
      <c r="G33" s="1214">
        <v>39.58</v>
      </c>
      <c r="H33" s="1221">
        <v>49.474999999999994</v>
      </c>
      <c r="I33" s="1195">
        <v>58844.425412639997</v>
      </c>
      <c r="J33" s="1195">
        <v>73555.531765799984</v>
      </c>
      <c r="K33" s="1196">
        <f t="shared" si="0"/>
        <v>9.6499674061043279E-3</v>
      </c>
      <c r="L33" s="1196">
        <f t="shared" si="1"/>
        <v>0.59135516125479037</v>
      </c>
      <c r="M33" s="1197" t="s">
        <v>2317</v>
      </c>
    </row>
    <row r="34" spans="1:15" ht="42.75">
      <c r="A34" s="1190">
        <v>101166</v>
      </c>
      <c r="B34" s="1191" t="s">
        <v>26</v>
      </c>
      <c r="C34" s="1191" t="s">
        <v>158</v>
      </c>
      <c r="D34" s="1192" t="s">
        <v>159</v>
      </c>
      <c r="E34" s="1190" t="s">
        <v>109</v>
      </c>
      <c r="F34" s="1193">
        <v>96.596000000000004</v>
      </c>
      <c r="G34" s="1194">
        <v>596.48</v>
      </c>
      <c r="H34" s="1195">
        <v>745.6</v>
      </c>
      <c r="I34" s="1195">
        <v>57617.582080000007</v>
      </c>
      <c r="J34" s="1195">
        <v>72021.977599999998</v>
      </c>
      <c r="K34" s="1196">
        <f t="shared" si="0"/>
        <v>9.4487759068356617E-3</v>
      </c>
      <c r="L34" s="1196">
        <f t="shared" si="1"/>
        <v>0.60080393716162606</v>
      </c>
      <c r="M34" s="1197" t="s">
        <v>2317</v>
      </c>
    </row>
    <row r="35" spans="1:15" ht="28.5">
      <c r="A35" s="1216">
        <v>7194</v>
      </c>
      <c r="B35" s="1191" t="s">
        <v>67</v>
      </c>
      <c r="C35" s="1191" t="s">
        <v>224</v>
      </c>
      <c r="D35" s="1192" t="s">
        <v>225</v>
      </c>
      <c r="E35" s="1190" t="s">
        <v>226</v>
      </c>
      <c r="F35" s="1198">
        <v>40</v>
      </c>
      <c r="G35" s="1194">
        <v>1384.17</v>
      </c>
      <c r="H35" s="1195">
        <v>1730.2125000000001</v>
      </c>
      <c r="I35" s="1195">
        <v>55366.8</v>
      </c>
      <c r="J35" s="1195">
        <v>69208.5</v>
      </c>
      <c r="K35" s="1196">
        <f t="shared" si="0"/>
        <v>9.0796674728942164E-3</v>
      </c>
      <c r="L35" s="1196">
        <f t="shared" si="1"/>
        <v>0.60988360463452029</v>
      </c>
      <c r="M35" s="1197" t="s">
        <v>2317</v>
      </c>
      <c r="N35" s="1189" t="str">
        <f>UPPER(N34)</f>
        <v/>
      </c>
    </row>
    <row r="36" spans="1:15">
      <c r="A36" s="1190">
        <v>90780</v>
      </c>
      <c r="B36" s="1191" t="s">
        <v>26</v>
      </c>
      <c r="C36" s="1191" t="s">
        <v>32</v>
      </c>
      <c r="D36" s="1192" t="s">
        <v>33</v>
      </c>
      <c r="E36" s="1190" t="s">
        <v>29</v>
      </c>
      <c r="F36" s="1193">
        <v>1408</v>
      </c>
      <c r="G36" s="1194">
        <v>37.61</v>
      </c>
      <c r="H36" s="1195">
        <v>47.012500000000003</v>
      </c>
      <c r="I36" s="1195">
        <v>52954.879999999997</v>
      </c>
      <c r="J36" s="1195">
        <v>66193.600000000006</v>
      </c>
      <c r="K36" s="1196">
        <f t="shared" si="0"/>
        <v>8.6841338395395162E-3</v>
      </c>
      <c r="L36" s="1196">
        <f t="shared" si="1"/>
        <v>0.61856773847405977</v>
      </c>
      <c r="M36" s="1197" t="s">
        <v>2317</v>
      </c>
    </row>
    <row r="37" spans="1:15" ht="42.75">
      <c r="A37" s="1190">
        <v>98567</v>
      </c>
      <c r="B37" s="1191" t="s">
        <v>26</v>
      </c>
      <c r="C37" s="1190" t="s">
        <v>285</v>
      </c>
      <c r="D37" s="1200" t="s">
        <v>286</v>
      </c>
      <c r="E37" s="1201" t="s">
        <v>61</v>
      </c>
      <c r="F37" s="1202">
        <v>850.11110000000008</v>
      </c>
      <c r="G37" s="1194">
        <v>61.12</v>
      </c>
      <c r="H37" s="1195">
        <v>76.399999999999991</v>
      </c>
      <c r="I37" s="1195">
        <v>51958.790432000002</v>
      </c>
      <c r="J37" s="1195">
        <v>64948.488039999997</v>
      </c>
      <c r="K37" s="1196">
        <f t="shared" si="0"/>
        <v>8.520783924957873E-3</v>
      </c>
      <c r="L37" s="1196">
        <f t="shared" si="1"/>
        <v>0.62708852239901769</v>
      </c>
      <c r="M37" s="1197" t="s">
        <v>2317</v>
      </c>
    </row>
    <row r="38" spans="1:15" ht="28.5">
      <c r="A38" s="1201">
        <v>9074</v>
      </c>
      <c r="B38" s="1222" t="s">
        <v>67</v>
      </c>
      <c r="C38" s="1199" t="s">
        <v>313</v>
      </c>
      <c r="D38" s="1200" t="s">
        <v>314</v>
      </c>
      <c r="E38" s="1201" t="s">
        <v>61</v>
      </c>
      <c r="F38" s="1202">
        <v>74.52</v>
      </c>
      <c r="G38" s="1194">
        <v>686.01</v>
      </c>
      <c r="H38" s="1221">
        <v>857.51250000000005</v>
      </c>
      <c r="I38" s="1195">
        <v>51121.465199999999</v>
      </c>
      <c r="J38" s="1221">
        <v>63901.8315</v>
      </c>
      <c r="K38" s="1196">
        <f t="shared" si="0"/>
        <v>8.3834699629224303E-3</v>
      </c>
      <c r="L38" s="1196">
        <f t="shared" si="1"/>
        <v>0.63547199236194007</v>
      </c>
      <c r="M38" s="1197" t="s">
        <v>2317</v>
      </c>
    </row>
    <row r="39" spans="1:15" ht="57">
      <c r="A39" s="1190">
        <v>87702</v>
      </c>
      <c r="B39" s="1191" t="s">
        <v>26</v>
      </c>
      <c r="C39" s="1191" t="s">
        <v>383</v>
      </c>
      <c r="D39" s="1200" t="s">
        <v>384</v>
      </c>
      <c r="E39" s="1201" t="s">
        <v>61</v>
      </c>
      <c r="F39" s="1202">
        <v>825.72599999999977</v>
      </c>
      <c r="G39" s="1194">
        <v>54.92</v>
      </c>
      <c r="H39" s="1194">
        <v>68.650000000000006</v>
      </c>
      <c r="I39" s="1195">
        <v>45348.87191999999</v>
      </c>
      <c r="J39" s="1195">
        <v>56686.089899999992</v>
      </c>
      <c r="K39" s="1196">
        <f t="shared" si="0"/>
        <v>7.4368155158772015E-3</v>
      </c>
      <c r="L39" s="1196">
        <f t="shared" si="1"/>
        <v>0.64290880787781723</v>
      </c>
      <c r="M39" s="1197" t="s">
        <v>2317</v>
      </c>
    </row>
    <row r="40" spans="1:15">
      <c r="A40" s="1190" t="s">
        <v>2645</v>
      </c>
      <c r="B40" s="1191"/>
      <c r="C40" s="1191" t="s">
        <v>368</v>
      </c>
      <c r="D40" s="1200" t="s">
        <v>369</v>
      </c>
      <c r="E40" s="1201" t="s">
        <v>55</v>
      </c>
      <c r="F40" s="1202">
        <v>24</v>
      </c>
      <c r="G40" s="1205">
        <v>1836</v>
      </c>
      <c r="H40" s="1194">
        <v>2295</v>
      </c>
      <c r="I40" s="1195">
        <v>44064</v>
      </c>
      <c r="J40" s="1195">
        <v>55080</v>
      </c>
      <c r="K40" s="1196">
        <f t="shared" si="0"/>
        <v>7.2261078394563307E-3</v>
      </c>
      <c r="L40" s="1196">
        <f t="shared" si="1"/>
        <v>0.65013491571727355</v>
      </c>
      <c r="M40" s="1197" t="s">
        <v>2317</v>
      </c>
    </row>
    <row r="41" spans="1:15" ht="57">
      <c r="A41" s="1190">
        <v>92990</v>
      </c>
      <c r="B41" s="1191" t="s">
        <v>26</v>
      </c>
      <c r="C41" s="1191" t="s">
        <v>916</v>
      </c>
      <c r="D41" s="1192" t="s">
        <v>917</v>
      </c>
      <c r="E41" s="1190" t="s">
        <v>246</v>
      </c>
      <c r="F41" s="1198">
        <v>549.43999999999994</v>
      </c>
      <c r="G41" s="1194">
        <v>78.31</v>
      </c>
      <c r="H41" s="1195">
        <v>97.887500000000003</v>
      </c>
      <c r="I41" s="1195">
        <v>43026.646399999998</v>
      </c>
      <c r="J41" s="1195">
        <v>53783.307999999997</v>
      </c>
      <c r="K41" s="1196">
        <f t="shared" si="0"/>
        <v>7.0559909871222648E-3</v>
      </c>
      <c r="L41" s="1196">
        <f t="shared" si="1"/>
        <v>0.65719090670439584</v>
      </c>
      <c r="M41" s="1197" t="s">
        <v>2317</v>
      </c>
    </row>
    <row r="42" spans="1:15" ht="32.25" customHeight="1">
      <c r="A42" s="1190">
        <v>2169</v>
      </c>
      <c r="B42" s="1191" t="s">
        <v>67</v>
      </c>
      <c r="C42" s="1191" t="s">
        <v>381</v>
      </c>
      <c r="D42" s="1200" t="s">
        <v>382</v>
      </c>
      <c r="E42" s="1201" t="s">
        <v>109</v>
      </c>
      <c r="F42" s="1202">
        <v>62.893599999999999</v>
      </c>
      <c r="G42" s="1194">
        <v>673.08</v>
      </c>
      <c r="H42" s="1194">
        <v>841.35</v>
      </c>
      <c r="I42" s="1195">
        <v>42332.424288000002</v>
      </c>
      <c r="J42" s="1195">
        <v>52915.530360000004</v>
      </c>
      <c r="K42" s="1196">
        <f t="shared" si="0"/>
        <v>6.9421446761689445E-3</v>
      </c>
      <c r="L42" s="1196">
        <f t="shared" si="1"/>
        <v>0.66413305138056478</v>
      </c>
      <c r="M42" s="1197" t="s">
        <v>2317</v>
      </c>
    </row>
    <row r="43" spans="1:15" s="1207" customFormat="1" ht="20.45" customHeight="1">
      <c r="A43" s="1190">
        <v>7767</v>
      </c>
      <c r="B43" s="1191" t="s">
        <v>67</v>
      </c>
      <c r="C43" s="1191" t="s">
        <v>389</v>
      </c>
      <c r="D43" s="1192" t="s">
        <v>390</v>
      </c>
      <c r="E43" s="1201" t="s">
        <v>61</v>
      </c>
      <c r="F43" s="1202">
        <v>264.971608</v>
      </c>
      <c r="G43" s="1194">
        <v>154.69</v>
      </c>
      <c r="H43" s="1194">
        <v>193.36250000000001</v>
      </c>
      <c r="I43" s="1195">
        <v>40988.458041520003</v>
      </c>
      <c r="J43" s="1195">
        <v>51235.572551900004</v>
      </c>
      <c r="K43" s="1196">
        <f t="shared" si="0"/>
        <v>6.7217460507683043E-3</v>
      </c>
      <c r="L43" s="1196">
        <f t="shared" si="1"/>
        <v>0.67085479743133303</v>
      </c>
      <c r="M43" s="1197" t="s">
        <v>2317</v>
      </c>
      <c r="N43" s="1189"/>
      <c r="O43" s="1189"/>
    </row>
    <row r="44" spans="1:15" s="1207" customFormat="1" ht="42" customHeight="1">
      <c r="A44" s="1190">
        <v>4953</v>
      </c>
      <c r="B44" s="1191" t="s">
        <v>67</v>
      </c>
      <c r="C44" s="1191" t="s">
        <v>277</v>
      </c>
      <c r="D44" s="1192" t="s">
        <v>278</v>
      </c>
      <c r="E44" s="1190" t="s">
        <v>61</v>
      </c>
      <c r="F44" s="1198">
        <v>1474.60724</v>
      </c>
      <c r="G44" s="1194">
        <v>25.81</v>
      </c>
      <c r="H44" s="1195">
        <v>32.262499999999996</v>
      </c>
      <c r="I44" s="1195">
        <v>38059.612864399998</v>
      </c>
      <c r="J44" s="1195">
        <v>47574.516080499998</v>
      </c>
      <c r="K44" s="1196">
        <f t="shared" si="0"/>
        <v>6.2414412419688143E-3</v>
      </c>
      <c r="L44" s="1196">
        <f t="shared" si="1"/>
        <v>0.67709623867330182</v>
      </c>
      <c r="M44" s="1197" t="s">
        <v>2317</v>
      </c>
      <c r="N44" s="1189"/>
      <c r="O44" s="1189"/>
    </row>
    <row r="45" spans="1:15" ht="42.75">
      <c r="A45" s="1190">
        <v>3764</v>
      </c>
      <c r="B45" s="1190" t="s">
        <v>67</v>
      </c>
      <c r="C45" s="1190" t="s">
        <v>293</v>
      </c>
      <c r="D45" s="1200" t="s">
        <v>294</v>
      </c>
      <c r="E45" s="1201" t="s">
        <v>55</v>
      </c>
      <c r="F45" s="1202">
        <v>30</v>
      </c>
      <c r="G45" s="1194">
        <v>1184.82</v>
      </c>
      <c r="H45" s="1219">
        <v>1481.0249999999999</v>
      </c>
      <c r="I45" s="1194">
        <v>35544.6</v>
      </c>
      <c r="J45" s="1203">
        <v>44430.749999999993</v>
      </c>
      <c r="K45" s="1196">
        <f t="shared" si="0"/>
        <v>5.8290012869993517E-3</v>
      </c>
      <c r="L45" s="1196">
        <f t="shared" si="1"/>
        <v>0.68292523996030119</v>
      </c>
      <c r="M45" s="1197" t="s">
        <v>2317</v>
      </c>
    </row>
    <row r="46" spans="1:15">
      <c r="A46" s="1190">
        <v>90776</v>
      </c>
      <c r="B46" s="1191" t="s">
        <v>26</v>
      </c>
      <c r="C46" s="1191" t="s">
        <v>34</v>
      </c>
      <c r="D46" s="1192" t="s">
        <v>35</v>
      </c>
      <c r="E46" s="1190" t="s">
        <v>29</v>
      </c>
      <c r="F46" s="1193">
        <v>1408</v>
      </c>
      <c r="G46" s="1194">
        <v>24.99</v>
      </c>
      <c r="H46" s="1195">
        <v>31.237499999999997</v>
      </c>
      <c r="I46" s="1195">
        <v>35185.919999999998</v>
      </c>
      <c r="J46" s="1195">
        <v>43982.399999999994</v>
      </c>
      <c r="K46" s="1196">
        <f t="shared" si="0"/>
        <v>5.7701809266177207E-3</v>
      </c>
      <c r="L46" s="1196">
        <f t="shared" si="1"/>
        <v>0.68869542088691893</v>
      </c>
      <c r="M46" s="1197" t="s">
        <v>2317</v>
      </c>
    </row>
    <row r="47" spans="1:15" ht="28.5">
      <c r="A47" s="1223" t="s">
        <v>399</v>
      </c>
      <c r="B47" s="1212" t="s">
        <v>26</v>
      </c>
      <c r="C47" s="1191" t="s">
        <v>400</v>
      </c>
      <c r="D47" s="1200" t="s">
        <v>401</v>
      </c>
      <c r="E47" s="1201" t="s">
        <v>61</v>
      </c>
      <c r="F47" s="1202">
        <v>406.54790000000003</v>
      </c>
      <c r="G47" s="1194">
        <v>85.23</v>
      </c>
      <c r="H47" s="1194">
        <v>106.53750000000001</v>
      </c>
      <c r="I47" s="1195">
        <v>34650.077517000005</v>
      </c>
      <c r="J47" s="1195">
        <v>43312.596896250005</v>
      </c>
      <c r="K47" s="1196">
        <f t="shared" si="0"/>
        <v>5.6823074796514906E-3</v>
      </c>
      <c r="L47" s="1196">
        <f t="shared" si="1"/>
        <v>0.69437772836657041</v>
      </c>
      <c r="M47" s="1197" t="s">
        <v>2317</v>
      </c>
    </row>
    <row r="48" spans="1:15" ht="42" customHeight="1">
      <c r="A48" s="1190">
        <v>7138</v>
      </c>
      <c r="B48" s="1191" t="s">
        <v>67</v>
      </c>
      <c r="C48" s="1191" t="s">
        <v>1181</v>
      </c>
      <c r="D48" s="1192" t="s">
        <v>1166</v>
      </c>
      <c r="E48" s="1190" t="s">
        <v>246</v>
      </c>
      <c r="F48" s="1198">
        <v>2760</v>
      </c>
      <c r="G48" s="1194">
        <v>11.95</v>
      </c>
      <c r="H48" s="1195">
        <v>14.9375</v>
      </c>
      <c r="I48" s="1195">
        <v>32982</v>
      </c>
      <c r="J48" s="1195">
        <v>41227.5</v>
      </c>
      <c r="K48" s="1196">
        <f t="shared" si="0"/>
        <v>5.4087574609873977E-3</v>
      </c>
      <c r="L48" s="1196">
        <f t="shared" si="1"/>
        <v>0.69978648582755776</v>
      </c>
      <c r="M48" s="1197" t="s">
        <v>2317</v>
      </c>
    </row>
    <row r="49" spans="1:13" ht="42.75">
      <c r="A49" s="1201" t="s">
        <v>2495</v>
      </c>
      <c r="B49" s="1222"/>
      <c r="C49" s="1190" t="s">
        <v>330</v>
      </c>
      <c r="D49" s="1200" t="s">
        <v>2496</v>
      </c>
      <c r="E49" s="1201" t="s">
        <v>61</v>
      </c>
      <c r="F49" s="1202">
        <v>47.143299999999996</v>
      </c>
      <c r="G49" s="1214">
        <v>689.23699999999997</v>
      </c>
      <c r="H49" s="1221">
        <v>861.54624999999999</v>
      </c>
      <c r="I49" s="1221">
        <v>32492.906662099995</v>
      </c>
      <c r="J49" s="1221">
        <v>40616.133327624993</v>
      </c>
      <c r="K49" s="1196">
        <f t="shared" si="0"/>
        <v>5.3285504620035314E-3</v>
      </c>
      <c r="L49" s="1196">
        <f t="shared" si="1"/>
        <v>0.70511503628956129</v>
      </c>
      <c r="M49" s="1197" t="s">
        <v>2317</v>
      </c>
    </row>
    <row r="50" spans="1:13" ht="28.5">
      <c r="A50" s="1190">
        <v>9753</v>
      </c>
      <c r="B50" s="1201" t="s">
        <v>67</v>
      </c>
      <c r="C50" s="1190" t="s">
        <v>264</v>
      </c>
      <c r="D50" s="1192" t="s">
        <v>265</v>
      </c>
      <c r="E50" s="1190" t="s">
        <v>246</v>
      </c>
      <c r="F50" s="1198">
        <v>199.74789999999999</v>
      </c>
      <c r="G50" s="1194">
        <v>161.91999999999999</v>
      </c>
      <c r="H50" s="1215">
        <v>202.39999999999998</v>
      </c>
      <c r="I50" s="1215">
        <v>32343.179967999997</v>
      </c>
      <c r="J50" s="1215">
        <v>40428.974959999992</v>
      </c>
      <c r="K50" s="1196">
        <f t="shared" si="0"/>
        <v>5.3039966031161881E-3</v>
      </c>
      <c r="L50" s="1196">
        <f t="shared" si="1"/>
        <v>0.71041903289267749</v>
      </c>
      <c r="M50" s="1197" t="s">
        <v>2317</v>
      </c>
    </row>
    <row r="51" spans="1:13">
      <c r="A51" s="1190">
        <v>90766</v>
      </c>
      <c r="B51" s="1191" t="s">
        <v>26</v>
      </c>
      <c r="C51" s="1191" t="s">
        <v>36</v>
      </c>
      <c r="D51" s="1192" t="s">
        <v>37</v>
      </c>
      <c r="E51" s="1190" t="s">
        <v>29</v>
      </c>
      <c r="F51" s="1193">
        <v>1408</v>
      </c>
      <c r="G51" s="1194">
        <v>22.01</v>
      </c>
      <c r="H51" s="1195">
        <v>27.512500000000003</v>
      </c>
      <c r="I51" s="1195">
        <v>30990.080000000002</v>
      </c>
      <c r="J51" s="1195">
        <v>38737.600000000006</v>
      </c>
      <c r="K51" s="1196">
        <f t="shared" si="0"/>
        <v>5.082100127845381E-3</v>
      </c>
      <c r="L51" s="1196">
        <f t="shared" si="1"/>
        <v>0.71550113302052287</v>
      </c>
      <c r="M51" s="1197" t="s">
        <v>2317</v>
      </c>
    </row>
    <row r="52" spans="1:13">
      <c r="A52" s="1190">
        <v>26</v>
      </c>
      <c r="B52" s="1191" t="s">
        <v>67</v>
      </c>
      <c r="C52" s="1191" t="s">
        <v>116</v>
      </c>
      <c r="D52" s="1192" t="s">
        <v>117</v>
      </c>
      <c r="E52" s="1190" t="s">
        <v>109</v>
      </c>
      <c r="F52" s="1210">
        <v>1837.8278660000001</v>
      </c>
      <c r="G52" s="1211">
        <v>16.53</v>
      </c>
      <c r="H52" s="1194">
        <v>20.662500000000001</v>
      </c>
      <c r="I52" s="1195">
        <v>30379.294624980004</v>
      </c>
      <c r="J52" s="1195">
        <v>37974.118281225004</v>
      </c>
      <c r="K52" s="1196">
        <f t="shared" si="0"/>
        <v>4.9819367067611099E-3</v>
      </c>
      <c r="L52" s="1196">
        <f t="shared" si="1"/>
        <v>0.72048306972728393</v>
      </c>
      <c r="M52" s="1197" t="s">
        <v>2317</v>
      </c>
    </row>
    <row r="53" spans="1:13" ht="28.5">
      <c r="A53" s="1190">
        <v>97629</v>
      </c>
      <c r="B53" s="1191" t="s">
        <v>26</v>
      </c>
      <c r="C53" s="1191" t="s">
        <v>107</v>
      </c>
      <c r="D53" s="1192" t="s">
        <v>108</v>
      </c>
      <c r="E53" s="1190" t="s">
        <v>109</v>
      </c>
      <c r="F53" s="1210">
        <v>258.84976000000006</v>
      </c>
      <c r="G53" s="1211">
        <v>106.92</v>
      </c>
      <c r="H53" s="1194">
        <v>133.65</v>
      </c>
      <c r="I53" s="1195">
        <v>27676.216339200007</v>
      </c>
      <c r="J53" s="1195">
        <v>34595.270424000009</v>
      </c>
      <c r="K53" s="1196">
        <f t="shared" si="0"/>
        <v>4.5386556793569023E-3</v>
      </c>
      <c r="L53" s="1196">
        <f t="shared" si="1"/>
        <v>0.72502172540664078</v>
      </c>
      <c r="M53" s="1197" t="s">
        <v>2317</v>
      </c>
    </row>
    <row r="54" spans="1:13" ht="28.5">
      <c r="A54" s="1190">
        <v>10728</v>
      </c>
      <c r="B54" s="1191" t="s">
        <v>67</v>
      </c>
      <c r="C54" s="1191" t="s">
        <v>998</v>
      </c>
      <c r="D54" s="1192" t="s">
        <v>999</v>
      </c>
      <c r="E54" s="1190" t="s">
        <v>55</v>
      </c>
      <c r="F54" s="1198">
        <v>335.94</v>
      </c>
      <c r="G54" s="1194">
        <v>81.95</v>
      </c>
      <c r="H54" s="1195">
        <v>102.4375</v>
      </c>
      <c r="I54" s="1195">
        <v>27530.282999999999</v>
      </c>
      <c r="J54" s="1195">
        <v>34412.853750000002</v>
      </c>
      <c r="K54" s="1196">
        <f t="shared" si="0"/>
        <v>4.5147238972574289E-3</v>
      </c>
      <c r="L54" s="1196">
        <f t="shared" si="1"/>
        <v>0.72953644930389816</v>
      </c>
      <c r="M54" s="1197" t="s">
        <v>2317</v>
      </c>
    </row>
    <row r="55" spans="1:13" ht="42.75">
      <c r="A55" s="1190">
        <v>92762</v>
      </c>
      <c r="B55" s="1191" t="s">
        <v>26</v>
      </c>
      <c r="C55" s="1191" t="s">
        <v>200</v>
      </c>
      <c r="D55" s="1192" t="s">
        <v>201</v>
      </c>
      <c r="E55" s="1190" t="s">
        <v>170</v>
      </c>
      <c r="F55" s="1198">
        <v>2058</v>
      </c>
      <c r="G55" s="1194">
        <v>13.09</v>
      </c>
      <c r="H55" s="1195">
        <v>16.362500000000001</v>
      </c>
      <c r="I55" s="1195">
        <v>26939.22</v>
      </c>
      <c r="J55" s="1195">
        <v>33674.025000000001</v>
      </c>
      <c r="K55" s="1196">
        <f t="shared" si="0"/>
        <v>4.4177947719416929E-3</v>
      </c>
      <c r="L55" s="1196">
        <f t="shared" si="1"/>
        <v>0.73395424407583987</v>
      </c>
      <c r="M55" s="1197" t="s">
        <v>2317</v>
      </c>
    </row>
    <row r="56" spans="1:13" ht="57">
      <c r="A56" s="1190">
        <v>12022</v>
      </c>
      <c r="B56" s="1191" t="s">
        <v>67</v>
      </c>
      <c r="C56" s="1190" t="s">
        <v>1061</v>
      </c>
      <c r="D56" s="1192" t="s">
        <v>1062</v>
      </c>
      <c r="E56" s="1190" t="s">
        <v>55</v>
      </c>
      <c r="F56" s="1198">
        <v>86</v>
      </c>
      <c r="G56" s="1194">
        <v>311.73</v>
      </c>
      <c r="H56" s="1195">
        <v>389.66250000000002</v>
      </c>
      <c r="I56" s="1195">
        <v>26808.780000000002</v>
      </c>
      <c r="J56" s="1195">
        <v>33510.974999999999</v>
      </c>
      <c r="K56" s="1196">
        <f t="shared" si="0"/>
        <v>4.3964037609899257E-3</v>
      </c>
      <c r="L56" s="1196">
        <f t="shared" si="1"/>
        <v>0.7383506478368298</v>
      </c>
      <c r="M56" s="1197" t="s">
        <v>2317</v>
      </c>
    </row>
    <row r="57" spans="1:13" ht="42.75">
      <c r="A57" s="1190">
        <v>91926</v>
      </c>
      <c r="B57" s="1191" t="s">
        <v>26</v>
      </c>
      <c r="C57" s="1190" t="s">
        <v>1056</v>
      </c>
      <c r="D57" s="1192" t="s">
        <v>946</v>
      </c>
      <c r="E57" s="1190" t="s">
        <v>246</v>
      </c>
      <c r="F57" s="1198">
        <v>6266.7839999999997</v>
      </c>
      <c r="G57" s="1194">
        <v>4.2699999999999996</v>
      </c>
      <c r="H57" s="1195">
        <v>5.3374999999999995</v>
      </c>
      <c r="I57" s="1195">
        <v>26759.167679999995</v>
      </c>
      <c r="J57" s="1195">
        <v>33448.959599999995</v>
      </c>
      <c r="K57" s="1196">
        <f t="shared" si="0"/>
        <v>4.3882677775457157E-3</v>
      </c>
      <c r="L57" s="1196">
        <f t="shared" si="1"/>
        <v>0.74273891561437555</v>
      </c>
      <c r="M57" s="1197" t="s">
        <v>2317</v>
      </c>
    </row>
    <row r="58" spans="1:13" ht="28.5">
      <c r="A58" s="1209">
        <v>2497</v>
      </c>
      <c r="B58" s="1191" t="s">
        <v>67</v>
      </c>
      <c r="C58" s="1191" t="s">
        <v>135</v>
      </c>
      <c r="D58" s="1192" t="s">
        <v>136</v>
      </c>
      <c r="E58" s="1190" t="s">
        <v>109</v>
      </c>
      <c r="F58" s="1198">
        <v>539.03055000000006</v>
      </c>
      <c r="G58" s="1194">
        <v>49.54</v>
      </c>
      <c r="H58" s="1195">
        <v>61.924999999999997</v>
      </c>
      <c r="I58" s="1195">
        <v>26703.573447000002</v>
      </c>
      <c r="J58" s="1195">
        <v>33379.466808750003</v>
      </c>
      <c r="K58" s="1196">
        <f t="shared" si="0"/>
        <v>4.3791508130642844E-3</v>
      </c>
      <c r="L58" s="1196">
        <f t="shared" si="1"/>
        <v>0.74711806642743983</v>
      </c>
      <c r="M58" s="1197" t="s">
        <v>2317</v>
      </c>
    </row>
    <row r="59" spans="1:13" ht="28.5">
      <c r="A59" s="1216">
        <v>6389</v>
      </c>
      <c r="B59" s="1217" t="s">
        <v>67</v>
      </c>
      <c r="C59" s="1191" t="s">
        <v>609</v>
      </c>
      <c r="D59" s="1224" t="s">
        <v>610</v>
      </c>
      <c r="E59" s="1201" t="s">
        <v>55</v>
      </c>
      <c r="F59" s="1225">
        <v>38</v>
      </c>
      <c r="G59" s="1215">
        <v>696.76</v>
      </c>
      <c r="H59" s="1221">
        <v>870.95</v>
      </c>
      <c r="I59" s="1195">
        <v>26476.880000000001</v>
      </c>
      <c r="J59" s="1195">
        <v>33096.1</v>
      </c>
      <c r="K59" s="1196">
        <f t="shared" si="0"/>
        <v>4.3419750847028078E-3</v>
      </c>
      <c r="L59" s="1196">
        <f t="shared" si="1"/>
        <v>0.75146004151214263</v>
      </c>
      <c r="M59" s="1197" t="s">
        <v>2317</v>
      </c>
    </row>
    <row r="60" spans="1:13" ht="42.75">
      <c r="A60" s="1190">
        <v>8624</v>
      </c>
      <c r="B60" s="1191" t="s">
        <v>67</v>
      </c>
      <c r="C60" s="1220" t="s">
        <v>412</v>
      </c>
      <c r="D60" s="1200" t="s">
        <v>413</v>
      </c>
      <c r="E60" s="1201" t="s">
        <v>61</v>
      </c>
      <c r="F60" s="1202">
        <v>1452.8148799999999</v>
      </c>
      <c r="G60" s="1194">
        <v>17.079999999999998</v>
      </c>
      <c r="H60" s="1195">
        <v>21.349999999999998</v>
      </c>
      <c r="I60" s="1195">
        <v>24814.078150399997</v>
      </c>
      <c r="J60" s="1195">
        <v>31017.597687999994</v>
      </c>
      <c r="K60" s="1196">
        <f t="shared" si="0"/>
        <v>4.0692902290188687E-3</v>
      </c>
      <c r="L60" s="1196">
        <f t="shared" si="1"/>
        <v>0.75552933174116155</v>
      </c>
      <c r="M60" s="1197" t="s">
        <v>2317</v>
      </c>
    </row>
    <row r="61" spans="1:13" ht="42.75">
      <c r="A61" s="1190">
        <v>97625</v>
      </c>
      <c r="B61" s="1191" t="s">
        <v>26</v>
      </c>
      <c r="C61" s="1191" t="s">
        <v>112</v>
      </c>
      <c r="D61" s="1192" t="s">
        <v>113</v>
      </c>
      <c r="E61" s="1190" t="s">
        <v>109</v>
      </c>
      <c r="F61" s="1210">
        <v>532.62940500000002</v>
      </c>
      <c r="G61" s="1211">
        <v>46</v>
      </c>
      <c r="H61" s="1194">
        <v>57.5</v>
      </c>
      <c r="I61" s="1195">
        <v>24500.95263</v>
      </c>
      <c r="J61" s="1195">
        <v>30626.1907875</v>
      </c>
      <c r="K61" s="1196">
        <f t="shared" si="0"/>
        <v>4.0179404020014341E-3</v>
      </c>
      <c r="L61" s="1196">
        <f t="shared" si="1"/>
        <v>0.75954727214316298</v>
      </c>
      <c r="M61" s="1197" t="s">
        <v>2317</v>
      </c>
    </row>
    <row r="62" spans="1:13" ht="42.75">
      <c r="A62" s="1190">
        <v>92342</v>
      </c>
      <c r="B62" s="1191" t="s">
        <v>26</v>
      </c>
      <c r="C62" s="1191" t="s">
        <v>654</v>
      </c>
      <c r="D62" s="1200" t="s">
        <v>655</v>
      </c>
      <c r="E62" s="1201" t="s">
        <v>246</v>
      </c>
      <c r="F62" s="1202">
        <v>190</v>
      </c>
      <c r="G62" s="1194">
        <v>128.07</v>
      </c>
      <c r="H62" s="1195">
        <v>160.08749999999998</v>
      </c>
      <c r="I62" s="1195">
        <v>24333.3</v>
      </c>
      <c r="J62" s="1195">
        <v>30416.624999999996</v>
      </c>
      <c r="K62" s="1196">
        <f t="shared" si="0"/>
        <v>3.9904468475363717E-3</v>
      </c>
      <c r="L62" s="1196">
        <f t="shared" si="1"/>
        <v>0.76353771899069933</v>
      </c>
      <c r="M62" s="1197" t="s">
        <v>2317</v>
      </c>
    </row>
    <row r="63" spans="1:13" ht="42.75">
      <c r="A63" s="1190">
        <v>12732</v>
      </c>
      <c r="B63" s="1190" t="s">
        <v>67</v>
      </c>
      <c r="C63" s="1190" t="s">
        <v>258</v>
      </c>
      <c r="D63" s="1192" t="s">
        <v>259</v>
      </c>
      <c r="E63" s="1190" t="s">
        <v>61</v>
      </c>
      <c r="F63" s="1198">
        <v>70.040000000000006</v>
      </c>
      <c r="G63" s="1194">
        <v>321.77999999999997</v>
      </c>
      <c r="H63" s="1194">
        <v>402.22499999999997</v>
      </c>
      <c r="I63" s="1194">
        <v>22537.4712</v>
      </c>
      <c r="J63" s="1194">
        <v>28171.839</v>
      </c>
      <c r="K63" s="1196">
        <f t="shared" si="0"/>
        <v>3.6959467438235582E-3</v>
      </c>
      <c r="L63" s="1196">
        <f t="shared" si="1"/>
        <v>0.7672336657345229</v>
      </c>
      <c r="M63" s="1197" t="s">
        <v>2317</v>
      </c>
    </row>
    <row r="64" spans="1:13" ht="28.5">
      <c r="A64" s="1216">
        <v>1532</v>
      </c>
      <c r="B64" s="1217" t="s">
        <v>67</v>
      </c>
      <c r="C64" s="1191" t="s">
        <v>587</v>
      </c>
      <c r="D64" s="1208" t="s">
        <v>588</v>
      </c>
      <c r="E64" s="1190" t="s">
        <v>246</v>
      </c>
      <c r="F64" s="1193">
        <v>590</v>
      </c>
      <c r="G64" s="1194">
        <v>37.74</v>
      </c>
      <c r="H64" s="1195">
        <v>47.175000000000004</v>
      </c>
      <c r="I64" s="1195">
        <v>22266.600000000002</v>
      </c>
      <c r="J64" s="1195">
        <v>27833.250000000004</v>
      </c>
      <c r="K64" s="1196">
        <f t="shared" si="0"/>
        <v>3.6515262531326784E-3</v>
      </c>
      <c r="L64" s="1196">
        <f t="shared" si="1"/>
        <v>0.77088519198765559</v>
      </c>
      <c r="M64" s="1197" t="s">
        <v>2317</v>
      </c>
    </row>
    <row r="65" spans="1:13">
      <c r="A65" s="1190">
        <v>100289</v>
      </c>
      <c r="B65" s="1191" t="s">
        <v>26</v>
      </c>
      <c r="C65" s="1191" t="s">
        <v>41</v>
      </c>
      <c r="D65" s="1192" t="s">
        <v>42</v>
      </c>
      <c r="E65" s="1190" t="s">
        <v>40</v>
      </c>
      <c r="F65" s="1193">
        <v>1152</v>
      </c>
      <c r="G65" s="1194">
        <v>18.670000000000002</v>
      </c>
      <c r="H65" s="1195">
        <v>23.337500000000002</v>
      </c>
      <c r="I65" s="1195">
        <v>21507.840000000004</v>
      </c>
      <c r="J65" s="1195">
        <v>26884.800000000003</v>
      </c>
      <c r="K65" s="1196">
        <f t="shared" si="0"/>
        <v>3.5270962970627372E-3</v>
      </c>
      <c r="L65" s="1196">
        <f t="shared" si="1"/>
        <v>0.77441228828471831</v>
      </c>
      <c r="M65" s="1197" t="s">
        <v>2317</v>
      </c>
    </row>
    <row r="66" spans="1:13" ht="42.75">
      <c r="A66" s="1190">
        <v>92767</v>
      </c>
      <c r="B66" s="1191" t="s">
        <v>26</v>
      </c>
      <c r="C66" s="1222" t="s">
        <v>210</v>
      </c>
      <c r="D66" s="1200" t="s">
        <v>211</v>
      </c>
      <c r="E66" s="1201" t="s">
        <v>170</v>
      </c>
      <c r="F66" s="1202">
        <v>1239</v>
      </c>
      <c r="G66" s="1215">
        <v>17.010000000000002</v>
      </c>
      <c r="H66" s="1195">
        <v>21.262500000000003</v>
      </c>
      <c r="I66" s="1195">
        <v>21075.390000000003</v>
      </c>
      <c r="J66" s="1195">
        <v>26344.237500000003</v>
      </c>
      <c r="K66" s="1196">
        <f t="shared" ref="K66:K129" si="2">J66/$N$1</f>
        <v>3.4561783065223213E-3</v>
      </c>
      <c r="L66" s="1196">
        <f t="shared" si="1"/>
        <v>0.77786846659124065</v>
      </c>
      <c r="M66" s="1197" t="s">
        <v>2317</v>
      </c>
    </row>
    <row r="67" spans="1:13">
      <c r="A67" s="1190">
        <v>4888</v>
      </c>
      <c r="B67" s="1191" t="s">
        <v>67</v>
      </c>
      <c r="C67" s="1191" t="s">
        <v>279</v>
      </c>
      <c r="D67" s="1192" t="s">
        <v>280</v>
      </c>
      <c r="E67" s="1190" t="s">
        <v>61</v>
      </c>
      <c r="F67" s="1198">
        <v>850.11110000000008</v>
      </c>
      <c r="G67" s="1194">
        <v>24.3</v>
      </c>
      <c r="H67" s="1195">
        <v>30.375</v>
      </c>
      <c r="I67" s="1195">
        <v>20657.699730000004</v>
      </c>
      <c r="J67" s="1195">
        <v>25822.124662500002</v>
      </c>
      <c r="K67" s="1196">
        <f t="shared" si="2"/>
        <v>3.3876807816831866E-3</v>
      </c>
      <c r="L67" s="1196">
        <f t="shared" si="1"/>
        <v>0.78125614737292381</v>
      </c>
      <c r="M67" s="1197" t="s">
        <v>2317</v>
      </c>
    </row>
    <row r="68" spans="1:13" ht="28.5">
      <c r="A68" s="1190">
        <v>4555</v>
      </c>
      <c r="B68" s="1191" t="s">
        <v>67</v>
      </c>
      <c r="C68" s="1191" t="s">
        <v>397</v>
      </c>
      <c r="D68" s="1192" t="s">
        <v>398</v>
      </c>
      <c r="E68" s="1201" t="s">
        <v>246</v>
      </c>
      <c r="F68" s="1202">
        <v>579.6</v>
      </c>
      <c r="G68" s="1194">
        <v>34.409999999999997</v>
      </c>
      <c r="H68" s="1194">
        <v>43.012499999999996</v>
      </c>
      <c r="I68" s="1195">
        <v>19944.036</v>
      </c>
      <c r="J68" s="1195">
        <v>24930.044999999998</v>
      </c>
      <c r="K68" s="1196">
        <f t="shared" si="2"/>
        <v>3.2706462166394168E-3</v>
      </c>
      <c r="L68" s="1196">
        <f t="shared" ref="L68:L131" si="3">K68+L67</f>
        <v>0.78452679358956323</v>
      </c>
      <c r="M68" s="1197" t="s">
        <v>2317</v>
      </c>
    </row>
    <row r="69" spans="1:13" ht="28.5">
      <c r="A69" s="1190">
        <v>91677</v>
      </c>
      <c r="B69" s="1191" t="s">
        <v>26</v>
      </c>
      <c r="C69" s="1191" t="s">
        <v>698</v>
      </c>
      <c r="D69" s="1192" t="s">
        <v>699</v>
      </c>
      <c r="E69" s="1190" t="s">
        <v>40</v>
      </c>
      <c r="F69" s="1193">
        <v>176</v>
      </c>
      <c r="G69" s="1194">
        <v>112.16</v>
      </c>
      <c r="H69" s="1195">
        <v>140.19999999999999</v>
      </c>
      <c r="I69" s="1195">
        <v>19740.16</v>
      </c>
      <c r="J69" s="1195">
        <v>24675.199999999997</v>
      </c>
      <c r="K69" s="1196">
        <f t="shared" si="2"/>
        <v>3.2372123485866523E-3</v>
      </c>
      <c r="L69" s="1196">
        <f t="shared" si="3"/>
        <v>0.78776400593814988</v>
      </c>
      <c r="M69" s="1197" t="s">
        <v>2317</v>
      </c>
    </row>
    <row r="70" spans="1:13" ht="55.5" customHeight="1">
      <c r="A70" s="1190">
        <v>98459</v>
      </c>
      <c r="B70" s="1191" t="s">
        <v>26</v>
      </c>
      <c r="C70" s="1191" t="s">
        <v>76</v>
      </c>
      <c r="D70" s="1192" t="s">
        <v>77</v>
      </c>
      <c r="E70" s="1190" t="s">
        <v>61</v>
      </c>
      <c r="F70" s="1193">
        <v>190.54200000000003</v>
      </c>
      <c r="G70" s="1194">
        <v>97.54</v>
      </c>
      <c r="H70" s="1195">
        <v>121.92500000000001</v>
      </c>
      <c r="I70" s="1195">
        <v>18585.466680000005</v>
      </c>
      <c r="J70" s="1195">
        <v>23231.833350000004</v>
      </c>
      <c r="K70" s="1196">
        <f t="shared" si="2"/>
        <v>3.0478528158202262E-3</v>
      </c>
      <c r="L70" s="1196">
        <f t="shared" si="3"/>
        <v>0.79081185875397009</v>
      </c>
      <c r="M70" s="1197" t="s">
        <v>2317</v>
      </c>
    </row>
    <row r="71" spans="1:13" ht="28.5">
      <c r="A71" s="1190">
        <v>95305</v>
      </c>
      <c r="B71" s="1191" t="s">
        <v>26</v>
      </c>
      <c r="C71" s="1220" t="s">
        <v>429</v>
      </c>
      <c r="D71" s="1200" t="s">
        <v>430</v>
      </c>
      <c r="E71" s="1201" t="s">
        <v>61</v>
      </c>
      <c r="F71" s="1202">
        <v>1486.7212079999999</v>
      </c>
      <c r="G71" s="1214">
        <v>12.01</v>
      </c>
      <c r="H71" s="1221">
        <v>15.012499999999999</v>
      </c>
      <c r="I71" s="1195">
        <v>17855.521708079999</v>
      </c>
      <c r="J71" s="1195">
        <v>22319.402135099997</v>
      </c>
      <c r="K71" s="1196">
        <f t="shared" si="2"/>
        <v>2.9281482705233197E-3</v>
      </c>
      <c r="L71" s="1196">
        <f t="shared" si="3"/>
        <v>0.79374000702449343</v>
      </c>
      <c r="M71" s="1197" t="s">
        <v>2317</v>
      </c>
    </row>
    <row r="72" spans="1:13" ht="42.75">
      <c r="A72" s="1190">
        <v>61</v>
      </c>
      <c r="B72" s="1191" t="s">
        <v>67</v>
      </c>
      <c r="C72" s="1191" t="s">
        <v>81</v>
      </c>
      <c r="D72" s="1192" t="s">
        <v>82</v>
      </c>
      <c r="E72" s="1190" t="s">
        <v>55</v>
      </c>
      <c r="F72" s="1210">
        <v>1</v>
      </c>
      <c r="G72" s="1211">
        <v>17650.04</v>
      </c>
      <c r="H72" s="1195">
        <v>22062.550000000003</v>
      </c>
      <c r="I72" s="1195">
        <v>17650.04</v>
      </c>
      <c r="J72" s="1195">
        <v>22062.550000000003</v>
      </c>
      <c r="K72" s="1196">
        <f t="shared" si="2"/>
        <v>2.8944510804901468E-3</v>
      </c>
      <c r="L72" s="1196">
        <f t="shared" si="3"/>
        <v>0.79663445810498357</v>
      </c>
      <c r="M72" s="1197" t="s">
        <v>2317</v>
      </c>
    </row>
    <row r="73" spans="1:13" ht="28.5">
      <c r="A73" s="1190">
        <v>4177</v>
      </c>
      <c r="B73" s="1191" t="s">
        <v>67</v>
      </c>
      <c r="C73" s="1191" t="s">
        <v>154</v>
      </c>
      <c r="D73" s="1192" t="s">
        <v>155</v>
      </c>
      <c r="E73" s="1190" t="s">
        <v>61</v>
      </c>
      <c r="F73" s="1198">
        <v>2932.4</v>
      </c>
      <c r="G73" s="1194">
        <v>5.85</v>
      </c>
      <c r="H73" s="1195">
        <v>7.3125</v>
      </c>
      <c r="I73" s="1195">
        <v>17154.54</v>
      </c>
      <c r="J73" s="1195">
        <v>21443.174999999999</v>
      </c>
      <c r="K73" s="1196">
        <f t="shared" si="2"/>
        <v>2.8131934453582788E-3</v>
      </c>
      <c r="L73" s="1196">
        <f t="shared" si="3"/>
        <v>0.79944765155034181</v>
      </c>
      <c r="M73" s="1197" t="s">
        <v>2317</v>
      </c>
    </row>
    <row r="74" spans="1:13" ht="28.5">
      <c r="A74" s="1226">
        <v>8082</v>
      </c>
      <c r="B74" s="1227" t="s">
        <v>67</v>
      </c>
      <c r="C74" s="1227" t="s">
        <v>987</v>
      </c>
      <c r="D74" s="1228" t="s">
        <v>927</v>
      </c>
      <c r="E74" s="1226" t="s">
        <v>170</v>
      </c>
      <c r="F74" s="1229">
        <v>147.99118942731278</v>
      </c>
      <c r="G74" s="1230">
        <v>115.09</v>
      </c>
      <c r="H74" s="1231">
        <v>143.86250000000001</v>
      </c>
      <c r="I74" s="1231">
        <v>17032.305991189427</v>
      </c>
      <c r="J74" s="1231">
        <v>21290.382488986786</v>
      </c>
      <c r="K74" s="1232">
        <f t="shared" si="2"/>
        <v>2.7931481446748581E-3</v>
      </c>
      <c r="L74" s="1232">
        <f t="shared" si="3"/>
        <v>0.80224079969501672</v>
      </c>
      <c r="M74" s="1233" t="s">
        <v>2733</v>
      </c>
    </row>
    <row r="75" spans="1:13" ht="29.25">
      <c r="A75" s="1226">
        <v>11483</v>
      </c>
      <c r="B75" s="1227" t="s">
        <v>67</v>
      </c>
      <c r="C75" s="1227" t="s">
        <v>164</v>
      </c>
      <c r="D75" s="1234" t="s">
        <v>165</v>
      </c>
      <c r="E75" s="1226" t="s">
        <v>109</v>
      </c>
      <c r="F75" s="1229">
        <v>30.632104000000002</v>
      </c>
      <c r="G75" s="1230">
        <v>552.78</v>
      </c>
      <c r="H75" s="1231">
        <v>690.97499999999991</v>
      </c>
      <c r="I75" s="1231">
        <v>16932.81444912</v>
      </c>
      <c r="J75" s="1231">
        <v>21166.018061399998</v>
      </c>
      <c r="K75" s="1232">
        <f t="shared" si="2"/>
        <v>2.7768324081981991E-3</v>
      </c>
      <c r="L75" s="1232">
        <f t="shared" si="3"/>
        <v>0.80501763210321486</v>
      </c>
      <c r="M75" s="1233" t="s">
        <v>2733</v>
      </c>
    </row>
    <row r="76" spans="1:13" ht="60.75" customHeight="1">
      <c r="A76" s="1226">
        <v>88489</v>
      </c>
      <c r="B76" s="1227" t="s">
        <v>26</v>
      </c>
      <c r="C76" s="1235" t="s">
        <v>416</v>
      </c>
      <c r="D76" s="1236" t="s">
        <v>417</v>
      </c>
      <c r="E76" s="1237" t="s">
        <v>61</v>
      </c>
      <c r="F76" s="1238">
        <v>1452.8148799999999</v>
      </c>
      <c r="G76" s="1230">
        <v>11.29</v>
      </c>
      <c r="H76" s="1231">
        <v>14.112499999999999</v>
      </c>
      <c r="I76" s="1231">
        <v>16402.279995199999</v>
      </c>
      <c r="J76" s="1231">
        <v>20502.849993999997</v>
      </c>
      <c r="K76" s="1232">
        <f t="shared" si="2"/>
        <v>2.6898294312425663E-3</v>
      </c>
      <c r="L76" s="1232">
        <f t="shared" si="3"/>
        <v>0.80770746153445738</v>
      </c>
      <c r="M76" s="1233" t="s">
        <v>2733</v>
      </c>
    </row>
    <row r="77" spans="1:13" ht="42.75" customHeight="1">
      <c r="A77" s="1239">
        <v>4883</v>
      </c>
      <c r="B77" s="1240" t="s">
        <v>67</v>
      </c>
      <c r="C77" s="1227" t="s">
        <v>597</v>
      </c>
      <c r="D77" s="1241" t="s">
        <v>598</v>
      </c>
      <c r="E77" s="1226" t="s">
        <v>96</v>
      </c>
      <c r="F77" s="1242">
        <v>26</v>
      </c>
      <c r="G77" s="1230">
        <v>615.62</v>
      </c>
      <c r="H77" s="1231">
        <v>769.52499999999998</v>
      </c>
      <c r="I77" s="1231">
        <v>16006.12</v>
      </c>
      <c r="J77" s="1231">
        <v>20007.649999999998</v>
      </c>
      <c r="K77" s="1232">
        <f t="shared" si="2"/>
        <v>2.6248626818100658E-3</v>
      </c>
      <c r="L77" s="1232">
        <f t="shared" si="3"/>
        <v>0.81033232421626744</v>
      </c>
      <c r="M77" s="1233" t="s">
        <v>2733</v>
      </c>
    </row>
    <row r="78" spans="1:13" ht="42.75">
      <c r="A78" s="1239">
        <v>12688</v>
      </c>
      <c r="B78" s="1227" t="s">
        <v>67</v>
      </c>
      <c r="C78" s="1243" t="s">
        <v>229</v>
      </c>
      <c r="D78" s="1236" t="s">
        <v>230</v>
      </c>
      <c r="E78" s="1237" t="s">
        <v>61</v>
      </c>
      <c r="F78" s="1238">
        <v>73.171999999999997</v>
      </c>
      <c r="G78" s="1244">
        <v>216.06</v>
      </c>
      <c r="H78" s="1245">
        <v>270.07499999999999</v>
      </c>
      <c r="I78" s="1231">
        <v>15809.542319999999</v>
      </c>
      <c r="J78" s="1231">
        <v>19761.927899999999</v>
      </c>
      <c r="K78" s="1232">
        <f t="shared" si="2"/>
        <v>2.5926256739462737E-3</v>
      </c>
      <c r="L78" s="1232">
        <f t="shared" si="3"/>
        <v>0.81292494989021369</v>
      </c>
      <c r="M78" s="1233" t="s">
        <v>2733</v>
      </c>
    </row>
    <row r="79" spans="1:13" ht="42.75">
      <c r="A79" s="1226">
        <v>87878</v>
      </c>
      <c r="B79" s="1227" t="s">
        <v>26</v>
      </c>
      <c r="C79" s="1227" t="s">
        <v>337</v>
      </c>
      <c r="D79" s="1236" t="s">
        <v>338</v>
      </c>
      <c r="E79" s="1237" t="s">
        <v>61</v>
      </c>
      <c r="F79" s="1238">
        <v>3618.9312050000008</v>
      </c>
      <c r="G79" s="1230">
        <v>4.33</v>
      </c>
      <c r="H79" s="1230">
        <v>5.4124999999999996</v>
      </c>
      <c r="I79" s="1231">
        <v>15669.972117650004</v>
      </c>
      <c r="J79" s="1231">
        <v>19587.465147062503</v>
      </c>
      <c r="K79" s="1232">
        <f t="shared" si="2"/>
        <v>2.5697373902372183E-3</v>
      </c>
      <c r="L79" s="1232">
        <f t="shared" si="3"/>
        <v>0.81549468728045094</v>
      </c>
      <c r="M79" s="1233" t="s">
        <v>2733</v>
      </c>
    </row>
    <row r="80" spans="1:13" ht="42.75">
      <c r="A80" s="1226">
        <v>92764</v>
      </c>
      <c r="B80" s="1227" t="s">
        <v>26</v>
      </c>
      <c r="C80" s="1227" t="s">
        <v>204</v>
      </c>
      <c r="D80" s="1228" t="s">
        <v>205</v>
      </c>
      <c r="E80" s="1226" t="s">
        <v>170</v>
      </c>
      <c r="F80" s="1229">
        <v>1394</v>
      </c>
      <c r="G80" s="1230">
        <v>10.85</v>
      </c>
      <c r="H80" s="1231">
        <v>13.5625</v>
      </c>
      <c r="I80" s="1231">
        <v>15124.9</v>
      </c>
      <c r="J80" s="1231">
        <v>18906.125</v>
      </c>
      <c r="K80" s="1232">
        <f t="shared" si="2"/>
        <v>2.4803503644923986E-3</v>
      </c>
      <c r="L80" s="1232">
        <f t="shared" si="3"/>
        <v>0.81797503764494328</v>
      </c>
      <c r="M80" s="1233" t="s">
        <v>2733</v>
      </c>
    </row>
    <row r="81" spans="1:14" ht="57">
      <c r="A81" s="1226">
        <v>10615</v>
      </c>
      <c r="B81" s="1227" t="s">
        <v>67</v>
      </c>
      <c r="C81" s="1227" t="s">
        <v>352</v>
      </c>
      <c r="D81" s="1236" t="s">
        <v>353</v>
      </c>
      <c r="E81" s="1237" t="s">
        <v>61</v>
      </c>
      <c r="F81" s="1238">
        <v>254.26293200000001</v>
      </c>
      <c r="G81" s="1230">
        <v>58.57</v>
      </c>
      <c r="H81" s="1230">
        <v>73.212500000000006</v>
      </c>
      <c r="I81" s="1231">
        <v>14892.17992724</v>
      </c>
      <c r="J81" s="1231">
        <v>18615.224909050001</v>
      </c>
      <c r="K81" s="1232">
        <f t="shared" si="2"/>
        <v>2.4421863225949341E-3</v>
      </c>
      <c r="L81" s="1232">
        <f t="shared" si="3"/>
        <v>0.82041722396753824</v>
      </c>
      <c r="M81" s="1233" t="s">
        <v>2733</v>
      </c>
    </row>
    <row r="82" spans="1:14" ht="42.75">
      <c r="A82" s="1226">
        <v>92759</v>
      </c>
      <c r="B82" s="1227" t="s">
        <v>26</v>
      </c>
      <c r="C82" s="1227" t="s">
        <v>194</v>
      </c>
      <c r="D82" s="1228" t="s">
        <v>195</v>
      </c>
      <c r="E82" s="1226" t="s">
        <v>170</v>
      </c>
      <c r="F82" s="1229">
        <v>968</v>
      </c>
      <c r="G82" s="1230">
        <v>15.31</v>
      </c>
      <c r="H82" s="1231">
        <v>19.137499999999999</v>
      </c>
      <c r="I82" s="1231">
        <v>14820.08</v>
      </c>
      <c r="J82" s="1231">
        <v>18525.099999999999</v>
      </c>
      <c r="K82" s="1232">
        <f t="shared" si="2"/>
        <v>2.430362569657089E-3</v>
      </c>
      <c r="L82" s="1232">
        <f t="shared" si="3"/>
        <v>0.82284758653719536</v>
      </c>
      <c r="M82" s="1233" t="s">
        <v>2733</v>
      </c>
    </row>
    <row r="83" spans="1:14" ht="32.450000000000003" customHeight="1">
      <c r="A83" s="1226">
        <v>9392</v>
      </c>
      <c r="B83" s="1227" t="s">
        <v>67</v>
      </c>
      <c r="C83" s="1227" t="s">
        <v>985</v>
      </c>
      <c r="D83" s="1228" t="s">
        <v>986</v>
      </c>
      <c r="E83" s="1226" t="s">
        <v>170</v>
      </c>
      <c r="F83" s="1229">
        <v>149.49113924050633</v>
      </c>
      <c r="G83" s="1230">
        <v>93.18</v>
      </c>
      <c r="H83" s="1231">
        <v>116.47500000000001</v>
      </c>
      <c r="I83" s="1231">
        <v>13929.584354430381</v>
      </c>
      <c r="J83" s="1231">
        <v>17411.980443037977</v>
      </c>
      <c r="K83" s="1232">
        <f t="shared" si="2"/>
        <v>2.2843291281753274E-3</v>
      </c>
      <c r="L83" s="1232">
        <f t="shared" si="3"/>
        <v>0.8251319156653707</v>
      </c>
      <c r="M83" s="1233" t="s">
        <v>2733</v>
      </c>
    </row>
    <row r="84" spans="1:14" ht="28.5">
      <c r="A84" s="1246">
        <v>11447</v>
      </c>
      <c r="B84" s="1227" t="s">
        <v>67</v>
      </c>
      <c r="C84" s="1227" t="s">
        <v>146</v>
      </c>
      <c r="D84" s="1228" t="s">
        <v>147</v>
      </c>
      <c r="E84" s="1226" t="s">
        <v>109</v>
      </c>
      <c r="F84" s="1242">
        <v>1170.5374999999999</v>
      </c>
      <c r="G84" s="1247">
        <v>11.86</v>
      </c>
      <c r="H84" s="1231">
        <v>14.824999999999999</v>
      </c>
      <c r="I84" s="1231">
        <v>13882.574749999998</v>
      </c>
      <c r="J84" s="1231">
        <v>17353.218437499996</v>
      </c>
      <c r="K84" s="1232">
        <f t="shared" si="2"/>
        <v>2.2766199671571687E-3</v>
      </c>
      <c r="L84" s="1232">
        <f t="shared" si="3"/>
        <v>0.82740853563252792</v>
      </c>
      <c r="M84" s="1233" t="s">
        <v>2733</v>
      </c>
      <c r="N84" s="1248"/>
    </row>
    <row r="85" spans="1:14" ht="71.25">
      <c r="A85" s="1226">
        <v>12508</v>
      </c>
      <c r="B85" s="1226" t="s">
        <v>67</v>
      </c>
      <c r="C85" s="1226" t="s">
        <v>260</v>
      </c>
      <c r="D85" s="1228" t="s">
        <v>261</v>
      </c>
      <c r="E85" s="1226" t="s">
        <v>61</v>
      </c>
      <c r="F85" s="1229">
        <v>70.040000000000006</v>
      </c>
      <c r="G85" s="1230">
        <v>195.02</v>
      </c>
      <c r="H85" s="1230">
        <v>243.77500000000001</v>
      </c>
      <c r="I85" s="1230">
        <v>13659.200800000002</v>
      </c>
      <c r="J85" s="1230">
        <v>17074.001</v>
      </c>
      <c r="K85" s="1232">
        <f t="shared" si="2"/>
        <v>2.2399886070621862E-3</v>
      </c>
      <c r="L85" s="1232">
        <f t="shared" si="3"/>
        <v>0.82964852423959012</v>
      </c>
      <c r="M85" s="1233" t="s">
        <v>2733</v>
      </c>
    </row>
    <row r="86" spans="1:14" ht="28.5">
      <c r="A86" s="1226">
        <v>7817</v>
      </c>
      <c r="B86" s="1227" t="s">
        <v>67</v>
      </c>
      <c r="C86" s="1227" t="s">
        <v>1108</v>
      </c>
      <c r="D86" s="1228" t="s">
        <v>1109</v>
      </c>
      <c r="E86" s="1226" t="s">
        <v>55</v>
      </c>
      <c r="F86" s="1229">
        <v>194</v>
      </c>
      <c r="G86" s="1230">
        <v>70</v>
      </c>
      <c r="H86" s="1231">
        <v>87.5</v>
      </c>
      <c r="I86" s="1231">
        <v>13580</v>
      </c>
      <c r="J86" s="1231">
        <v>16975</v>
      </c>
      <c r="K86" s="1232">
        <f t="shared" si="2"/>
        <v>2.2270003735434135E-3</v>
      </c>
      <c r="L86" s="1232">
        <f t="shared" si="3"/>
        <v>0.83187552461313352</v>
      </c>
      <c r="M86" s="1233" t="s">
        <v>2733</v>
      </c>
    </row>
    <row r="87" spans="1:14" ht="35.25" customHeight="1">
      <c r="A87" s="1226">
        <v>100981</v>
      </c>
      <c r="B87" s="1227" t="s">
        <v>26</v>
      </c>
      <c r="C87" s="1227" t="s">
        <v>114</v>
      </c>
      <c r="D87" s="1228" t="s">
        <v>115</v>
      </c>
      <c r="E87" s="1226" t="s">
        <v>109</v>
      </c>
      <c r="F87" s="1249">
        <v>1837.8278660000001</v>
      </c>
      <c r="G87" s="1250">
        <v>7.29</v>
      </c>
      <c r="H87" s="1230">
        <v>9.1125000000000007</v>
      </c>
      <c r="I87" s="1231">
        <v>13397.765143140001</v>
      </c>
      <c r="J87" s="1231">
        <v>16747.206428925001</v>
      </c>
      <c r="K87" s="1232">
        <f t="shared" si="2"/>
        <v>2.1971154623284025E-3</v>
      </c>
      <c r="L87" s="1232">
        <f t="shared" si="3"/>
        <v>0.83407264007546189</v>
      </c>
      <c r="M87" s="1233" t="s">
        <v>2733</v>
      </c>
    </row>
    <row r="88" spans="1:14" ht="42.75">
      <c r="A88" s="1226">
        <v>92763</v>
      </c>
      <c r="B88" s="1227" t="s">
        <v>26</v>
      </c>
      <c r="C88" s="1227" t="s">
        <v>202</v>
      </c>
      <c r="D88" s="1228" t="s">
        <v>203</v>
      </c>
      <c r="E88" s="1226" t="s">
        <v>170</v>
      </c>
      <c r="F88" s="1229">
        <v>1164</v>
      </c>
      <c r="G88" s="1230">
        <v>11.13</v>
      </c>
      <c r="H88" s="1231">
        <v>13.912500000000001</v>
      </c>
      <c r="I88" s="1231">
        <v>12955.320000000002</v>
      </c>
      <c r="J88" s="1231">
        <v>16194.150000000001</v>
      </c>
      <c r="K88" s="1232">
        <f t="shared" si="2"/>
        <v>2.1245583563604164E-3</v>
      </c>
      <c r="L88" s="1232">
        <f t="shared" si="3"/>
        <v>0.83619719843182228</v>
      </c>
      <c r="M88" s="1233" t="s">
        <v>2733</v>
      </c>
    </row>
    <row r="89" spans="1:14" ht="42.75">
      <c r="A89" s="1226">
        <v>91846</v>
      </c>
      <c r="B89" s="1227" t="s">
        <v>26</v>
      </c>
      <c r="C89" s="1226" t="s">
        <v>1045</v>
      </c>
      <c r="D89" s="1228" t="s">
        <v>1046</v>
      </c>
      <c r="E89" s="1226" t="s">
        <v>246</v>
      </c>
      <c r="F89" s="1229">
        <v>1449.6959999999999</v>
      </c>
      <c r="G89" s="1230">
        <v>8.8800000000000008</v>
      </c>
      <c r="H89" s="1231">
        <v>11.100000000000001</v>
      </c>
      <c r="I89" s="1231">
        <v>12873.30048</v>
      </c>
      <c r="J89" s="1231">
        <v>16091.625600000001</v>
      </c>
      <c r="K89" s="1232">
        <f t="shared" si="2"/>
        <v>2.1111078775917971E-3</v>
      </c>
      <c r="L89" s="1232">
        <f t="shared" si="3"/>
        <v>0.83830830630941411</v>
      </c>
      <c r="M89" s="1233" t="s">
        <v>2733</v>
      </c>
    </row>
    <row r="90" spans="1:14" ht="28.5">
      <c r="A90" s="1226">
        <v>4657</v>
      </c>
      <c r="B90" s="1227" t="s">
        <v>67</v>
      </c>
      <c r="C90" s="1227" t="s">
        <v>78</v>
      </c>
      <c r="D90" s="1228" t="s">
        <v>79</v>
      </c>
      <c r="E90" s="1226" t="s">
        <v>80</v>
      </c>
      <c r="F90" s="1249">
        <v>8</v>
      </c>
      <c r="G90" s="1250">
        <v>1600</v>
      </c>
      <c r="H90" s="1231">
        <v>2000</v>
      </c>
      <c r="I90" s="1231">
        <v>12800</v>
      </c>
      <c r="J90" s="1231">
        <v>16000</v>
      </c>
      <c r="K90" s="1232">
        <f t="shared" si="2"/>
        <v>2.0990872445770022E-3</v>
      </c>
      <c r="L90" s="1232">
        <f t="shared" si="3"/>
        <v>0.84040739355399108</v>
      </c>
      <c r="M90" s="1233" t="s">
        <v>2733</v>
      </c>
    </row>
    <row r="91" spans="1:14" ht="60.75" customHeight="1">
      <c r="A91" s="1226">
        <v>3637</v>
      </c>
      <c r="B91" s="1227" t="s">
        <v>67</v>
      </c>
      <c r="C91" s="1243" t="s">
        <v>214</v>
      </c>
      <c r="D91" s="1236" t="s">
        <v>215</v>
      </c>
      <c r="E91" s="1237" t="s">
        <v>61</v>
      </c>
      <c r="F91" s="1238">
        <v>536.91275167785238</v>
      </c>
      <c r="G91" s="1244">
        <v>23.74</v>
      </c>
      <c r="H91" s="1245">
        <v>29.674999999999997</v>
      </c>
      <c r="I91" s="1245">
        <v>12746.308724832215</v>
      </c>
      <c r="J91" s="1245">
        <v>15932.885906040268</v>
      </c>
      <c r="K91" s="1232">
        <f t="shared" si="2"/>
        <v>2.0902823484168637E-3</v>
      </c>
      <c r="L91" s="1232">
        <f t="shared" si="3"/>
        <v>0.84249767590240798</v>
      </c>
      <c r="M91" s="1233" t="s">
        <v>2733</v>
      </c>
    </row>
    <row r="92" spans="1:14" ht="42.75">
      <c r="A92" s="1226">
        <v>93010</v>
      </c>
      <c r="B92" s="1227" t="s">
        <v>26</v>
      </c>
      <c r="C92" s="1227" t="s">
        <v>996</v>
      </c>
      <c r="D92" s="1228" t="s">
        <v>997</v>
      </c>
      <c r="E92" s="1226" t="s">
        <v>246</v>
      </c>
      <c r="F92" s="1229">
        <v>335.94</v>
      </c>
      <c r="G92" s="1230">
        <v>36.18</v>
      </c>
      <c r="H92" s="1231">
        <v>45.225000000000001</v>
      </c>
      <c r="I92" s="1231">
        <v>12154.3092</v>
      </c>
      <c r="J92" s="1231">
        <v>15192.886500000001</v>
      </c>
      <c r="K92" s="1232">
        <f t="shared" si="2"/>
        <v>1.9931996412785083E-3</v>
      </c>
      <c r="L92" s="1232">
        <f t="shared" si="3"/>
        <v>0.84449087554368651</v>
      </c>
      <c r="M92" s="1233" t="s">
        <v>2733</v>
      </c>
    </row>
    <row r="93" spans="1:14" ht="57">
      <c r="A93" s="1226">
        <v>12021</v>
      </c>
      <c r="B93" s="1227" t="s">
        <v>67</v>
      </c>
      <c r="C93" s="1226" t="s">
        <v>1063</v>
      </c>
      <c r="D93" s="1228" t="s">
        <v>1064</v>
      </c>
      <c r="E93" s="1226" t="s">
        <v>55</v>
      </c>
      <c r="F93" s="1229">
        <v>70</v>
      </c>
      <c r="G93" s="1230">
        <v>172.95</v>
      </c>
      <c r="H93" s="1231">
        <v>216.1875</v>
      </c>
      <c r="I93" s="1231">
        <v>12106.5</v>
      </c>
      <c r="J93" s="1231">
        <v>15133.125</v>
      </c>
      <c r="K93" s="1232">
        <f t="shared" si="2"/>
        <v>1.9853593536305844E-3</v>
      </c>
      <c r="L93" s="1232">
        <f t="shared" si="3"/>
        <v>0.84647623489731705</v>
      </c>
      <c r="M93" s="1233" t="s">
        <v>2733</v>
      </c>
    </row>
    <row r="94" spans="1:14">
      <c r="A94" s="1226">
        <v>10234</v>
      </c>
      <c r="B94" s="1227" t="s">
        <v>67</v>
      </c>
      <c r="C94" s="1226" t="s">
        <v>1326</v>
      </c>
      <c r="D94" s="1228" t="s">
        <v>1327</v>
      </c>
      <c r="E94" s="1237" t="s">
        <v>61</v>
      </c>
      <c r="F94" s="1238">
        <v>479.33</v>
      </c>
      <c r="G94" s="1251">
        <v>25.01</v>
      </c>
      <c r="H94" s="1251">
        <v>31.262500000000003</v>
      </c>
      <c r="I94" s="1251">
        <v>11988.043300000001</v>
      </c>
      <c r="J94" s="1251">
        <v>14985.054125000001</v>
      </c>
      <c r="K94" s="1232">
        <f t="shared" si="2"/>
        <v>1.9659334983177183E-3</v>
      </c>
      <c r="L94" s="1232">
        <f t="shared" si="3"/>
        <v>0.8484421683956348</v>
      </c>
      <c r="M94" s="1233" t="s">
        <v>2733</v>
      </c>
    </row>
    <row r="95" spans="1:14" ht="42.75">
      <c r="A95" s="1252" t="s">
        <v>407</v>
      </c>
      <c r="B95" s="1253" t="s">
        <v>67</v>
      </c>
      <c r="C95" s="1227" t="s">
        <v>408</v>
      </c>
      <c r="D95" s="1236" t="s">
        <v>409</v>
      </c>
      <c r="E95" s="1237" t="s">
        <v>61</v>
      </c>
      <c r="F95" s="1238">
        <v>17.968000000000007</v>
      </c>
      <c r="G95" s="1230">
        <v>656.19</v>
      </c>
      <c r="H95" s="1230">
        <v>820.23750000000007</v>
      </c>
      <c r="I95" s="1231">
        <v>11790.421920000006</v>
      </c>
      <c r="J95" s="1231">
        <v>14738.027400000006</v>
      </c>
      <c r="K95" s="1232">
        <f t="shared" si="2"/>
        <v>1.9335253328478983E-3</v>
      </c>
      <c r="L95" s="1232">
        <f t="shared" si="3"/>
        <v>0.85037569372848265</v>
      </c>
      <c r="M95" s="1233" t="s">
        <v>2733</v>
      </c>
    </row>
    <row r="96" spans="1:14" ht="36.75" customHeight="1">
      <c r="A96" s="1226" t="s">
        <v>2710</v>
      </c>
      <c r="B96" s="1227"/>
      <c r="C96" s="1226" t="s">
        <v>638</v>
      </c>
      <c r="D96" s="1228" t="s">
        <v>2711</v>
      </c>
      <c r="E96" s="1237" t="s">
        <v>96</v>
      </c>
      <c r="F96" s="1238">
        <v>14</v>
      </c>
      <c r="G96" s="1230">
        <v>820.36</v>
      </c>
      <c r="H96" s="1231">
        <v>1025.45</v>
      </c>
      <c r="I96" s="1231">
        <v>11485.04</v>
      </c>
      <c r="J96" s="1231">
        <v>14356.300000000001</v>
      </c>
      <c r="K96" s="1232">
        <f t="shared" si="2"/>
        <v>1.8834453880825512E-3</v>
      </c>
      <c r="L96" s="1232">
        <f t="shared" si="3"/>
        <v>0.85225913911656526</v>
      </c>
      <c r="M96" s="1233" t="s">
        <v>2733</v>
      </c>
    </row>
    <row r="97" spans="1:15" ht="36.75" customHeight="1">
      <c r="A97" s="1226">
        <v>3240</v>
      </c>
      <c r="B97" s="1227" t="s">
        <v>67</v>
      </c>
      <c r="C97" s="1227" t="s">
        <v>99</v>
      </c>
      <c r="D97" s="1228" t="s">
        <v>100</v>
      </c>
      <c r="E97" s="1226" t="s">
        <v>61</v>
      </c>
      <c r="F97" s="1249">
        <v>608.93000000000006</v>
      </c>
      <c r="G97" s="1250">
        <v>18.690000000000001</v>
      </c>
      <c r="H97" s="1230">
        <v>23.362500000000001</v>
      </c>
      <c r="I97" s="1231">
        <v>11380.901700000002</v>
      </c>
      <c r="J97" s="1231">
        <v>14226.127125000003</v>
      </c>
      <c r="K97" s="1232">
        <f t="shared" si="2"/>
        <v>1.8663676242386504E-3</v>
      </c>
      <c r="L97" s="1232">
        <f t="shared" si="3"/>
        <v>0.8541255067408039</v>
      </c>
      <c r="M97" s="1233" t="s">
        <v>2733</v>
      </c>
    </row>
    <row r="98" spans="1:15" ht="40.5" customHeight="1">
      <c r="A98" s="1226">
        <v>11380</v>
      </c>
      <c r="B98" s="1227" t="s">
        <v>67</v>
      </c>
      <c r="C98" s="1227" t="s">
        <v>379</v>
      </c>
      <c r="D98" s="1236" t="s">
        <v>380</v>
      </c>
      <c r="E98" s="1237" t="s">
        <v>61</v>
      </c>
      <c r="F98" s="1238">
        <v>898.47999999999979</v>
      </c>
      <c r="G98" s="1230">
        <v>12.27</v>
      </c>
      <c r="H98" s="1230">
        <v>15.337499999999999</v>
      </c>
      <c r="I98" s="1231">
        <v>11024.349599999998</v>
      </c>
      <c r="J98" s="1231">
        <v>13780.436999999996</v>
      </c>
      <c r="K98" s="1232">
        <f t="shared" si="2"/>
        <v>1.8078962207123102E-3</v>
      </c>
      <c r="L98" s="1232">
        <f t="shared" si="3"/>
        <v>0.85593340296151621</v>
      </c>
      <c r="M98" s="1233" t="s">
        <v>2733</v>
      </c>
    </row>
    <row r="99" spans="1:15" ht="51" customHeight="1">
      <c r="A99" s="1226" t="s">
        <v>2641</v>
      </c>
      <c r="B99" s="1227"/>
      <c r="C99" s="1227" t="s">
        <v>216</v>
      </c>
      <c r="D99" s="1228" t="s">
        <v>217</v>
      </c>
      <c r="E99" s="1226" t="s">
        <v>218</v>
      </c>
      <c r="F99" s="1229">
        <v>1</v>
      </c>
      <c r="G99" s="1230">
        <v>10936</v>
      </c>
      <c r="H99" s="1231">
        <v>13670</v>
      </c>
      <c r="I99" s="1231">
        <v>10936</v>
      </c>
      <c r="J99" s="1231">
        <v>13670</v>
      </c>
      <c r="K99" s="1232">
        <f t="shared" si="2"/>
        <v>1.7934076645854764E-3</v>
      </c>
      <c r="L99" s="1232">
        <f t="shared" si="3"/>
        <v>0.85772681062610168</v>
      </c>
      <c r="M99" s="1233" t="s">
        <v>2733</v>
      </c>
    </row>
    <row r="100" spans="1:15" ht="42.75">
      <c r="A100" s="1237">
        <v>99841</v>
      </c>
      <c r="B100" s="1243" t="s">
        <v>26</v>
      </c>
      <c r="C100" s="1254" t="s">
        <v>311</v>
      </c>
      <c r="D100" s="1236" t="s">
        <v>312</v>
      </c>
      <c r="E100" s="1237" t="s">
        <v>246</v>
      </c>
      <c r="F100" s="1238">
        <v>10.98</v>
      </c>
      <c r="G100" s="1230">
        <v>989.66</v>
      </c>
      <c r="H100" s="1245">
        <v>1237.075</v>
      </c>
      <c r="I100" s="1231">
        <v>10866.4668</v>
      </c>
      <c r="J100" s="1245">
        <v>13583.083500000001</v>
      </c>
      <c r="K100" s="1232">
        <f t="shared" si="2"/>
        <v>1.7820048323046467E-3</v>
      </c>
      <c r="L100" s="1232">
        <f t="shared" si="3"/>
        <v>0.85950881545840629</v>
      </c>
      <c r="M100" s="1233" t="s">
        <v>2733</v>
      </c>
    </row>
    <row r="101" spans="1:15" ht="68.25" customHeight="1">
      <c r="A101" s="1226">
        <v>764</v>
      </c>
      <c r="B101" s="1227" t="s">
        <v>67</v>
      </c>
      <c r="C101" s="1227" t="s">
        <v>1138</v>
      </c>
      <c r="D101" s="1228" t="s">
        <v>1137</v>
      </c>
      <c r="E101" s="1226" t="s">
        <v>246</v>
      </c>
      <c r="F101" s="1229">
        <v>130.88999999999999</v>
      </c>
      <c r="G101" s="1230">
        <v>82.99</v>
      </c>
      <c r="H101" s="1231">
        <v>103.7375</v>
      </c>
      <c r="I101" s="1231">
        <v>10862.561099999999</v>
      </c>
      <c r="J101" s="1231">
        <v>13578.201374999999</v>
      </c>
      <c r="K101" s="1232">
        <f t="shared" si="2"/>
        <v>1.7813643319100256E-3</v>
      </c>
      <c r="L101" s="1232">
        <f t="shared" si="3"/>
        <v>0.8612901797903163</v>
      </c>
      <c r="M101" s="1233" t="s">
        <v>2733</v>
      </c>
    </row>
    <row r="102" spans="1:15" ht="28.5">
      <c r="A102" s="1239">
        <v>8394</v>
      </c>
      <c r="B102" s="1240" t="s">
        <v>67</v>
      </c>
      <c r="C102" s="1227" t="s">
        <v>253</v>
      </c>
      <c r="D102" s="1236" t="s">
        <v>2723</v>
      </c>
      <c r="E102" s="1226" t="s">
        <v>246</v>
      </c>
      <c r="F102" s="1229">
        <v>436.82409999999987</v>
      </c>
      <c r="G102" s="1230">
        <v>24.52</v>
      </c>
      <c r="H102" s="1230">
        <v>30.65</v>
      </c>
      <c r="I102" s="1231">
        <v>10710.926931999997</v>
      </c>
      <c r="J102" s="1231">
        <v>13388.658664999995</v>
      </c>
      <c r="K102" s="1232">
        <f t="shared" si="2"/>
        <v>1.7564976641060528E-3</v>
      </c>
      <c r="L102" s="1232">
        <f t="shared" si="3"/>
        <v>0.86304667745442232</v>
      </c>
      <c r="M102" s="1233" t="s">
        <v>2733</v>
      </c>
      <c r="N102" s="1255" t="s">
        <v>2719</v>
      </c>
    </row>
    <row r="103" spans="1:15" ht="57">
      <c r="A103" s="1226">
        <v>8927</v>
      </c>
      <c r="B103" s="1227" t="s">
        <v>67</v>
      </c>
      <c r="C103" s="1227" t="s">
        <v>1077</v>
      </c>
      <c r="D103" s="1228" t="s">
        <v>1078</v>
      </c>
      <c r="E103" s="1226" t="s">
        <v>55</v>
      </c>
      <c r="F103" s="1229">
        <v>4</v>
      </c>
      <c r="G103" s="1230">
        <v>2672.71</v>
      </c>
      <c r="H103" s="1231">
        <v>3340.8874999999998</v>
      </c>
      <c r="I103" s="1231">
        <v>10690.84</v>
      </c>
      <c r="J103" s="1231">
        <v>13363.55</v>
      </c>
      <c r="K103" s="1232">
        <f t="shared" si="2"/>
        <v>1.7532035842041872E-3</v>
      </c>
      <c r="L103" s="1232">
        <f t="shared" si="3"/>
        <v>0.86479988103862648</v>
      </c>
      <c r="M103" s="1233" t="s">
        <v>2733</v>
      </c>
    </row>
    <row r="104" spans="1:15" ht="57">
      <c r="A104" s="1237">
        <v>100758</v>
      </c>
      <c r="B104" s="1243" t="s">
        <v>26</v>
      </c>
      <c r="C104" s="1226" t="s">
        <v>331</v>
      </c>
      <c r="D104" s="1236" t="s">
        <v>332</v>
      </c>
      <c r="E104" s="1237" t="s">
        <v>61</v>
      </c>
      <c r="F104" s="1238">
        <v>216.32470800000002</v>
      </c>
      <c r="G104" s="1256">
        <v>48.66</v>
      </c>
      <c r="H104" s="1245">
        <v>60.824999999999996</v>
      </c>
      <c r="I104" s="1245">
        <v>10526.36029128</v>
      </c>
      <c r="J104" s="1245">
        <v>13157.950364099999</v>
      </c>
      <c r="K104" s="1232">
        <f t="shared" si="2"/>
        <v>1.7262303608787269E-3</v>
      </c>
      <c r="L104" s="1232">
        <f t="shared" si="3"/>
        <v>0.86652611139950519</v>
      </c>
      <c r="M104" s="1233" t="s">
        <v>2733</v>
      </c>
    </row>
    <row r="105" spans="1:15" ht="53.25" customHeight="1">
      <c r="A105" s="1226">
        <v>101094</v>
      </c>
      <c r="B105" s="1227" t="s">
        <v>26</v>
      </c>
      <c r="C105" s="1227" t="s">
        <v>1307</v>
      </c>
      <c r="D105" s="1228" t="s">
        <v>1308</v>
      </c>
      <c r="E105" s="1237" t="s">
        <v>246</v>
      </c>
      <c r="F105" s="1238">
        <v>62.7</v>
      </c>
      <c r="G105" s="1231">
        <v>167.53</v>
      </c>
      <c r="H105" s="1231">
        <v>209.41249999999999</v>
      </c>
      <c r="I105" s="1231">
        <v>10504.131000000001</v>
      </c>
      <c r="J105" s="1231">
        <v>13130.16375</v>
      </c>
      <c r="K105" s="1232">
        <f t="shared" si="2"/>
        <v>1.7225849529270212E-3</v>
      </c>
      <c r="L105" s="1232">
        <f t="shared" si="3"/>
        <v>0.86824869635243218</v>
      </c>
      <c r="M105" s="1233" t="s">
        <v>2733</v>
      </c>
    </row>
    <row r="106" spans="1:15" ht="52.5">
      <c r="A106" s="1246">
        <v>2506</v>
      </c>
      <c r="B106" s="1227" t="s">
        <v>67</v>
      </c>
      <c r="C106" s="1227" t="s">
        <v>141</v>
      </c>
      <c r="D106" s="1257" t="s">
        <v>142</v>
      </c>
      <c r="E106" s="1226" t="s">
        <v>109</v>
      </c>
      <c r="F106" s="1242">
        <v>812.59</v>
      </c>
      <c r="G106" s="1247">
        <v>12.89</v>
      </c>
      <c r="H106" s="1231">
        <v>16.112500000000001</v>
      </c>
      <c r="I106" s="1231">
        <v>10474.285100000001</v>
      </c>
      <c r="J106" s="1231">
        <v>13092.856375000001</v>
      </c>
      <c r="K106" s="1232">
        <f t="shared" si="2"/>
        <v>1.7176904882400745E-3</v>
      </c>
      <c r="L106" s="1232">
        <f t="shared" si="3"/>
        <v>0.86996638684067229</v>
      </c>
      <c r="M106" s="1233" t="s">
        <v>2733</v>
      </c>
      <c r="N106" s="1204" t="s">
        <v>143</v>
      </c>
      <c r="O106" s="1207"/>
    </row>
    <row r="107" spans="1:15" ht="42.75">
      <c r="A107" s="1226">
        <v>92760</v>
      </c>
      <c r="B107" s="1227" t="s">
        <v>26</v>
      </c>
      <c r="C107" s="1227" t="s">
        <v>196</v>
      </c>
      <c r="D107" s="1228" t="s">
        <v>197</v>
      </c>
      <c r="E107" s="1226" t="s">
        <v>170</v>
      </c>
      <c r="F107" s="1229">
        <v>695</v>
      </c>
      <c r="G107" s="1230">
        <v>14.99</v>
      </c>
      <c r="H107" s="1231">
        <v>18.737500000000001</v>
      </c>
      <c r="I107" s="1231">
        <v>10418.049999999999</v>
      </c>
      <c r="J107" s="1231">
        <v>13022.5625</v>
      </c>
      <c r="K107" s="1232">
        <f t="shared" si="2"/>
        <v>1.70846842721605E-3</v>
      </c>
      <c r="L107" s="1232">
        <f t="shared" si="3"/>
        <v>0.87167485526788835</v>
      </c>
      <c r="M107" s="1233" t="s">
        <v>2733</v>
      </c>
    </row>
    <row r="108" spans="1:15" ht="28.5">
      <c r="A108" s="1226">
        <v>96544</v>
      </c>
      <c r="B108" s="1227" t="s">
        <v>26</v>
      </c>
      <c r="C108" s="1227" t="s">
        <v>171</v>
      </c>
      <c r="D108" s="1228" t="s">
        <v>172</v>
      </c>
      <c r="E108" s="1226" t="s">
        <v>170</v>
      </c>
      <c r="F108" s="1229">
        <v>598</v>
      </c>
      <c r="G108" s="1230">
        <v>17.34</v>
      </c>
      <c r="H108" s="1231">
        <v>21.675000000000001</v>
      </c>
      <c r="I108" s="1231">
        <v>10369.32</v>
      </c>
      <c r="J108" s="1231">
        <v>12961.65</v>
      </c>
      <c r="K108" s="1232">
        <f t="shared" si="2"/>
        <v>1.7004771364794687E-3</v>
      </c>
      <c r="L108" s="1232">
        <f t="shared" si="3"/>
        <v>0.87337533240436782</v>
      </c>
      <c r="M108" s="1233" t="s">
        <v>2733</v>
      </c>
    </row>
    <row r="109" spans="1:15" ht="28.5">
      <c r="A109" s="1226">
        <v>4977</v>
      </c>
      <c r="B109" s="1227" t="s">
        <v>67</v>
      </c>
      <c r="C109" s="1227" t="s">
        <v>105</v>
      </c>
      <c r="D109" s="1228" t="s">
        <v>106</v>
      </c>
      <c r="E109" s="1226" t="s">
        <v>61</v>
      </c>
      <c r="F109" s="1249">
        <v>778.53610000000003</v>
      </c>
      <c r="G109" s="1250">
        <v>13.08</v>
      </c>
      <c r="H109" s="1230">
        <v>16.350000000000001</v>
      </c>
      <c r="I109" s="1231">
        <v>10183.252188</v>
      </c>
      <c r="J109" s="1231">
        <v>12729.065235000002</v>
      </c>
      <c r="K109" s="1232">
        <f t="shared" si="2"/>
        <v>1.6699636543860666E-3</v>
      </c>
      <c r="L109" s="1232">
        <f t="shared" si="3"/>
        <v>0.87504529605875392</v>
      </c>
      <c r="M109" s="1233" t="s">
        <v>2733</v>
      </c>
    </row>
    <row r="110" spans="1:15" ht="28.5">
      <c r="A110" s="1226">
        <v>2394</v>
      </c>
      <c r="B110" s="1227" t="s">
        <v>67</v>
      </c>
      <c r="C110" s="1226" t="s">
        <v>1340</v>
      </c>
      <c r="D110" s="1228" t="s">
        <v>1341</v>
      </c>
      <c r="E110" s="1237" t="s">
        <v>109</v>
      </c>
      <c r="F110" s="1238">
        <v>90</v>
      </c>
      <c r="G110" s="1251">
        <v>105.83</v>
      </c>
      <c r="H110" s="1251">
        <v>132.28749999999999</v>
      </c>
      <c r="I110" s="1251">
        <v>9524.7000000000007</v>
      </c>
      <c r="J110" s="1251">
        <v>11905.875</v>
      </c>
      <c r="K110" s="1232">
        <f t="shared" si="2"/>
        <v>1.5619668967517635E-3</v>
      </c>
      <c r="L110" s="1232">
        <f t="shared" si="3"/>
        <v>0.87660726295550573</v>
      </c>
      <c r="M110" s="1233" t="s">
        <v>2733</v>
      </c>
    </row>
    <row r="111" spans="1:15" ht="29.25">
      <c r="A111" s="1226">
        <v>10777</v>
      </c>
      <c r="B111" s="1227" t="s">
        <v>67</v>
      </c>
      <c r="C111" s="1226" t="s">
        <v>1276</v>
      </c>
      <c r="D111" s="1228" t="s">
        <v>1277</v>
      </c>
      <c r="E111" s="1226" t="s">
        <v>61</v>
      </c>
      <c r="F111" s="1242">
        <v>11.965300000000001</v>
      </c>
      <c r="G111" s="1230">
        <v>780.99</v>
      </c>
      <c r="H111" s="1231">
        <v>976.23749999999995</v>
      </c>
      <c r="I111" s="1231">
        <v>9344.7796470000012</v>
      </c>
      <c r="J111" s="1231">
        <v>11680.97455875</v>
      </c>
      <c r="K111" s="1232">
        <f t="shared" si="2"/>
        <v>1.5324615437812877E-3</v>
      </c>
      <c r="L111" s="1232">
        <f t="shared" si="3"/>
        <v>0.87813972449928701</v>
      </c>
      <c r="M111" s="1233" t="s">
        <v>2733</v>
      </c>
    </row>
    <row r="112" spans="1:15" ht="42.75">
      <c r="A112" s="1258" t="s">
        <v>2401</v>
      </c>
      <c r="B112" s="1259"/>
      <c r="C112" s="1227" t="s">
        <v>295</v>
      </c>
      <c r="D112" s="1236" t="s">
        <v>2402</v>
      </c>
      <c r="E112" s="1237" t="s">
        <v>55</v>
      </c>
      <c r="F112" s="1238">
        <v>8</v>
      </c>
      <c r="G112" s="1260">
        <v>1162.6069</v>
      </c>
      <c r="H112" s="1261">
        <v>1453.2586249999999</v>
      </c>
      <c r="I112" s="1231">
        <v>9300.8552</v>
      </c>
      <c r="J112" s="1261">
        <v>11626.069</v>
      </c>
      <c r="K112" s="1232">
        <f t="shared" si="2"/>
        <v>1.5252583214045063E-3</v>
      </c>
      <c r="L112" s="1232">
        <f t="shared" si="3"/>
        <v>0.8796649828206915</v>
      </c>
      <c r="M112" s="1233" t="s">
        <v>2733</v>
      </c>
    </row>
    <row r="113" spans="1:15" ht="28.5">
      <c r="A113" s="1226">
        <v>93203</v>
      </c>
      <c r="B113" s="1227" t="s">
        <v>26</v>
      </c>
      <c r="C113" s="1227" t="s">
        <v>254</v>
      </c>
      <c r="D113" s="1236" t="s">
        <v>255</v>
      </c>
      <c r="E113" s="1226" t="s">
        <v>246</v>
      </c>
      <c r="F113" s="1229">
        <v>436.82409999999987</v>
      </c>
      <c r="G113" s="1230">
        <v>20.81</v>
      </c>
      <c r="H113" s="1230">
        <v>26.012499999999999</v>
      </c>
      <c r="I113" s="1231">
        <v>9090.3095209999974</v>
      </c>
      <c r="J113" s="1231">
        <v>11362.886901249996</v>
      </c>
      <c r="K113" s="1232">
        <f t="shared" si="2"/>
        <v>1.4907306847490604E-3</v>
      </c>
      <c r="L113" s="1232">
        <f t="shared" si="3"/>
        <v>0.88115571350544053</v>
      </c>
      <c r="M113" s="1233" t="s">
        <v>2733</v>
      </c>
      <c r="N113" s="1189" t="str">
        <f>UPPER(N112)</f>
        <v/>
      </c>
    </row>
    <row r="114" spans="1:15" ht="42.75">
      <c r="A114" s="1226">
        <v>91924</v>
      </c>
      <c r="B114" s="1227" t="s">
        <v>26</v>
      </c>
      <c r="C114" s="1226" t="s">
        <v>1054</v>
      </c>
      <c r="D114" s="1228" t="s">
        <v>1055</v>
      </c>
      <c r="E114" s="1226" t="s">
        <v>246</v>
      </c>
      <c r="F114" s="1229">
        <v>3075.0239999999999</v>
      </c>
      <c r="G114" s="1230">
        <v>2.93</v>
      </c>
      <c r="H114" s="1231">
        <v>3.6625000000000001</v>
      </c>
      <c r="I114" s="1231">
        <v>9009.8203200000007</v>
      </c>
      <c r="J114" s="1231">
        <v>11262.2754</v>
      </c>
      <c r="K114" s="1232">
        <f t="shared" si="2"/>
        <v>1.4775311648158348E-3</v>
      </c>
      <c r="L114" s="1232">
        <f t="shared" si="3"/>
        <v>0.88263324467025639</v>
      </c>
      <c r="M114" s="1233" t="s">
        <v>2733</v>
      </c>
    </row>
    <row r="115" spans="1:15" ht="42.75">
      <c r="A115" s="1226">
        <v>92916</v>
      </c>
      <c r="B115" s="1227" t="s">
        <v>26</v>
      </c>
      <c r="C115" s="1243" t="s">
        <v>212</v>
      </c>
      <c r="D115" s="1236" t="s">
        <v>213</v>
      </c>
      <c r="E115" s="1237" t="s">
        <v>170</v>
      </c>
      <c r="F115" s="1238">
        <v>536.91275167785238</v>
      </c>
      <c r="G115" s="1244">
        <v>16.64</v>
      </c>
      <c r="H115" s="1245">
        <v>20.8</v>
      </c>
      <c r="I115" s="1245">
        <v>8934.2281879194634</v>
      </c>
      <c r="J115" s="1245">
        <v>11167.785234899329</v>
      </c>
      <c r="K115" s="1232">
        <f t="shared" si="2"/>
        <v>1.4651347210470351E-3</v>
      </c>
      <c r="L115" s="1232">
        <f t="shared" si="3"/>
        <v>0.88409837939130342</v>
      </c>
      <c r="M115" s="1233" t="s">
        <v>2733</v>
      </c>
    </row>
    <row r="116" spans="1:15" ht="69.75" customHeight="1">
      <c r="A116" s="1226">
        <v>89356</v>
      </c>
      <c r="B116" s="1227" t="s">
        <v>26</v>
      </c>
      <c r="C116" s="1227" t="s">
        <v>519</v>
      </c>
      <c r="D116" s="1241" t="s">
        <v>520</v>
      </c>
      <c r="E116" s="1226" t="s">
        <v>246</v>
      </c>
      <c r="F116" s="1242">
        <v>380.87</v>
      </c>
      <c r="G116" s="1230">
        <v>22.41</v>
      </c>
      <c r="H116" s="1231">
        <v>28.012499999999999</v>
      </c>
      <c r="I116" s="1231">
        <v>8535.2967000000008</v>
      </c>
      <c r="J116" s="1231">
        <v>10669.120875000001</v>
      </c>
      <c r="K116" s="1232">
        <f t="shared" si="2"/>
        <v>1.3997134712226704E-3</v>
      </c>
      <c r="L116" s="1232">
        <f t="shared" si="3"/>
        <v>0.88549809286252612</v>
      </c>
      <c r="M116" s="1233" t="s">
        <v>2733</v>
      </c>
    </row>
    <row r="117" spans="1:15" ht="28.5" customHeight="1">
      <c r="A117" s="1226">
        <v>7989</v>
      </c>
      <c r="B117" s="1227" t="s">
        <v>67</v>
      </c>
      <c r="C117" s="1227" t="s">
        <v>101</v>
      </c>
      <c r="D117" s="1228" t="s">
        <v>102</v>
      </c>
      <c r="E117" s="1226" t="s">
        <v>61</v>
      </c>
      <c r="F117" s="1249">
        <v>750.83</v>
      </c>
      <c r="G117" s="1250">
        <v>11.2</v>
      </c>
      <c r="H117" s="1230">
        <v>14</v>
      </c>
      <c r="I117" s="1231">
        <v>8409.2960000000003</v>
      </c>
      <c r="J117" s="1231">
        <v>10511.62</v>
      </c>
      <c r="K117" s="1232">
        <f t="shared" si="2"/>
        <v>1.3790504663650318E-3</v>
      </c>
      <c r="L117" s="1232">
        <f t="shared" si="3"/>
        <v>0.88687714332889112</v>
      </c>
      <c r="M117" s="1233" t="s">
        <v>2733</v>
      </c>
    </row>
    <row r="118" spans="1:15" ht="58.5" customHeight="1">
      <c r="A118" s="1226" t="s">
        <v>1292</v>
      </c>
      <c r="B118" s="1227"/>
      <c r="C118" s="1227" t="s">
        <v>1293</v>
      </c>
      <c r="D118" s="1228" t="s">
        <v>1294</v>
      </c>
      <c r="E118" s="1237" t="s">
        <v>55</v>
      </c>
      <c r="F118" s="1238">
        <v>1</v>
      </c>
      <c r="G118" s="1262">
        <v>8095.14</v>
      </c>
      <c r="H118" s="1245">
        <v>10118.925000000001</v>
      </c>
      <c r="I118" s="1231">
        <v>8095.14</v>
      </c>
      <c r="J118" s="1231">
        <v>10118.925000000001</v>
      </c>
      <c r="K118" s="1232">
        <f t="shared" si="2"/>
        <v>1.3275316497707091E-3</v>
      </c>
      <c r="L118" s="1232">
        <f t="shared" si="3"/>
        <v>0.88820467497866185</v>
      </c>
      <c r="M118" s="1233" t="s">
        <v>2733</v>
      </c>
      <c r="N118" s="1206"/>
      <c r="O118" s="1206"/>
    </row>
    <row r="119" spans="1:15" ht="45.75" customHeight="1">
      <c r="A119" s="1226">
        <v>96543</v>
      </c>
      <c r="B119" s="1227" t="s">
        <v>26</v>
      </c>
      <c r="C119" s="1227" t="s">
        <v>168</v>
      </c>
      <c r="D119" s="1228" t="s">
        <v>169</v>
      </c>
      <c r="E119" s="1226" t="s">
        <v>170</v>
      </c>
      <c r="F119" s="1229">
        <v>439</v>
      </c>
      <c r="G119" s="1230">
        <v>18.32</v>
      </c>
      <c r="H119" s="1231">
        <v>22.9</v>
      </c>
      <c r="I119" s="1231">
        <v>8042.4800000000005</v>
      </c>
      <c r="J119" s="1231">
        <v>10053.099999999999</v>
      </c>
      <c r="K119" s="1232">
        <f t="shared" si="2"/>
        <v>1.3188958736535662E-3</v>
      </c>
      <c r="L119" s="1232">
        <f t="shared" si="3"/>
        <v>0.88952357085231537</v>
      </c>
      <c r="M119" s="1233" t="s">
        <v>2733</v>
      </c>
    </row>
    <row r="120" spans="1:15" ht="28.5">
      <c r="A120" s="1226">
        <v>102491</v>
      </c>
      <c r="B120" s="1227" t="s">
        <v>26</v>
      </c>
      <c r="C120" s="1235" t="s">
        <v>435</v>
      </c>
      <c r="D120" s="1236" t="s">
        <v>436</v>
      </c>
      <c r="E120" s="1237" t="s">
        <v>61</v>
      </c>
      <c r="F120" s="1238">
        <v>396.10910000000001</v>
      </c>
      <c r="G120" s="1256">
        <v>19.5</v>
      </c>
      <c r="H120" s="1245">
        <v>24.375</v>
      </c>
      <c r="I120" s="1231">
        <v>7724.12745</v>
      </c>
      <c r="J120" s="1231">
        <v>9655.1593124999999</v>
      </c>
      <c r="K120" s="1232">
        <f t="shared" si="2"/>
        <v>1.2666888598267254E-3</v>
      </c>
      <c r="L120" s="1232">
        <f t="shared" si="3"/>
        <v>0.8907902597121421</v>
      </c>
      <c r="M120" s="1233" t="s">
        <v>2733</v>
      </c>
    </row>
    <row r="121" spans="1:15" ht="28.5">
      <c r="A121" s="1226">
        <v>4656</v>
      </c>
      <c r="B121" s="1227" t="s">
        <v>67</v>
      </c>
      <c r="C121" s="1227" t="s">
        <v>85</v>
      </c>
      <c r="D121" s="1228" t="s">
        <v>86</v>
      </c>
      <c r="E121" s="1226" t="s">
        <v>80</v>
      </c>
      <c r="F121" s="1249">
        <v>8</v>
      </c>
      <c r="G121" s="1250">
        <v>957.15</v>
      </c>
      <c r="H121" s="1231">
        <v>1196.4375</v>
      </c>
      <c r="I121" s="1231">
        <v>7657.2</v>
      </c>
      <c r="J121" s="1231">
        <v>9571.5</v>
      </c>
      <c r="K121" s="1232">
        <f t="shared" si="2"/>
        <v>1.2557133475917985E-3</v>
      </c>
      <c r="L121" s="1232">
        <f t="shared" si="3"/>
        <v>0.89204597305973388</v>
      </c>
      <c r="M121" s="1233" t="s">
        <v>2733</v>
      </c>
    </row>
    <row r="122" spans="1:15" ht="42.75">
      <c r="A122" s="1226">
        <v>91929</v>
      </c>
      <c r="B122" s="1227" t="s">
        <v>26</v>
      </c>
      <c r="C122" s="1227" t="s">
        <v>924</v>
      </c>
      <c r="D122" s="1228" t="s">
        <v>925</v>
      </c>
      <c r="E122" s="1237" t="s">
        <v>246</v>
      </c>
      <c r="F122" s="1229">
        <v>1075.6679999999999</v>
      </c>
      <c r="G122" s="1244">
        <v>7.11</v>
      </c>
      <c r="H122" s="1245">
        <v>8.8875000000000011</v>
      </c>
      <c r="I122" s="1231">
        <v>7647.9994799999995</v>
      </c>
      <c r="J122" s="1231">
        <v>9559.99935</v>
      </c>
      <c r="K122" s="1232">
        <f t="shared" si="2"/>
        <v>1.2542045433593396E-3</v>
      </c>
      <c r="L122" s="1232">
        <f t="shared" si="3"/>
        <v>0.89330017760309322</v>
      </c>
      <c r="M122" s="1233" t="s">
        <v>2733</v>
      </c>
    </row>
    <row r="123" spans="1:15" ht="42" customHeight="1">
      <c r="A123" s="1226">
        <v>101875</v>
      </c>
      <c r="B123" s="1226" t="s">
        <v>26</v>
      </c>
      <c r="C123" s="1227" t="s">
        <v>834</v>
      </c>
      <c r="D123" s="1228" t="s">
        <v>835</v>
      </c>
      <c r="E123" s="1226" t="s">
        <v>55</v>
      </c>
      <c r="F123" s="1229">
        <v>14</v>
      </c>
      <c r="G123" s="1230">
        <v>544.94000000000005</v>
      </c>
      <c r="H123" s="1230">
        <v>681.17500000000007</v>
      </c>
      <c r="I123" s="1230">
        <v>7629.1600000000008</v>
      </c>
      <c r="J123" s="1230">
        <v>9536.4500000000007</v>
      </c>
      <c r="K123" s="1232">
        <f t="shared" si="2"/>
        <v>1.2511150345966471E-3</v>
      </c>
      <c r="L123" s="1232">
        <f t="shared" si="3"/>
        <v>0.89455129263768984</v>
      </c>
      <c r="M123" s="1233" t="s">
        <v>2733</v>
      </c>
    </row>
    <row r="124" spans="1:15" ht="57.75" customHeight="1">
      <c r="A124" s="1226">
        <v>92761</v>
      </c>
      <c r="B124" s="1227" t="s">
        <v>26</v>
      </c>
      <c r="C124" s="1227" t="s">
        <v>198</v>
      </c>
      <c r="D124" s="1228" t="s">
        <v>199</v>
      </c>
      <c r="E124" s="1226" t="s">
        <v>170</v>
      </c>
      <c r="F124" s="1229">
        <v>525</v>
      </c>
      <c r="G124" s="1230">
        <v>14.44</v>
      </c>
      <c r="H124" s="1231">
        <v>18.05</v>
      </c>
      <c r="I124" s="1231">
        <v>7581</v>
      </c>
      <c r="J124" s="1231">
        <v>9476.25</v>
      </c>
      <c r="K124" s="1232">
        <f t="shared" si="2"/>
        <v>1.2432172188389262E-3</v>
      </c>
      <c r="L124" s="1232">
        <f t="shared" si="3"/>
        <v>0.89579450985652875</v>
      </c>
      <c r="M124" s="1233" t="s">
        <v>2733</v>
      </c>
    </row>
    <row r="125" spans="1:15" ht="69" customHeight="1">
      <c r="A125" s="1226">
        <v>96546</v>
      </c>
      <c r="B125" s="1227" t="s">
        <v>26</v>
      </c>
      <c r="C125" s="1227" t="s">
        <v>175</v>
      </c>
      <c r="D125" s="1228" t="s">
        <v>176</v>
      </c>
      <c r="E125" s="1226" t="s">
        <v>170</v>
      </c>
      <c r="F125" s="1229">
        <v>508</v>
      </c>
      <c r="G125" s="1230">
        <v>14.62</v>
      </c>
      <c r="H125" s="1231">
        <v>18.274999999999999</v>
      </c>
      <c r="I125" s="1231">
        <v>7426.96</v>
      </c>
      <c r="J125" s="1231">
        <v>9283.6999999999989</v>
      </c>
      <c r="K125" s="1232">
        <f t="shared" si="2"/>
        <v>1.2179560157799696E-3</v>
      </c>
      <c r="L125" s="1232">
        <f t="shared" si="3"/>
        <v>0.89701246587230876</v>
      </c>
      <c r="M125" s="1233" t="s">
        <v>2733</v>
      </c>
    </row>
    <row r="126" spans="1:15" ht="66.75" customHeight="1">
      <c r="A126" s="1226">
        <v>9718</v>
      </c>
      <c r="B126" s="1227" t="s">
        <v>67</v>
      </c>
      <c r="C126" s="1226" t="s">
        <v>1313</v>
      </c>
      <c r="D126" s="1228" t="s">
        <v>1314</v>
      </c>
      <c r="E126" s="1237" t="s">
        <v>61</v>
      </c>
      <c r="F126" s="1238">
        <v>12.82</v>
      </c>
      <c r="G126" s="1262">
        <v>539.13</v>
      </c>
      <c r="H126" s="1231">
        <v>673.91250000000002</v>
      </c>
      <c r="I126" s="1231">
        <v>6911.6466</v>
      </c>
      <c r="J126" s="1231">
        <v>8639.55825</v>
      </c>
      <c r="K126" s="1232">
        <f t="shared" si="2"/>
        <v>1.1334491575846881E-3</v>
      </c>
      <c r="L126" s="1232">
        <f t="shared" si="3"/>
        <v>0.89814591502989349</v>
      </c>
      <c r="M126" s="1233" t="s">
        <v>2733</v>
      </c>
    </row>
    <row r="127" spans="1:15" ht="63.75" customHeight="1">
      <c r="A127" s="1226">
        <v>91931</v>
      </c>
      <c r="B127" s="1227" t="s">
        <v>26</v>
      </c>
      <c r="C127" s="1227" t="s">
        <v>922</v>
      </c>
      <c r="D127" s="1228" t="s">
        <v>923</v>
      </c>
      <c r="E127" s="1226" t="s">
        <v>246</v>
      </c>
      <c r="F127" s="1229">
        <v>674.52</v>
      </c>
      <c r="G127" s="1230">
        <v>10.039999999999999</v>
      </c>
      <c r="H127" s="1231">
        <v>12.549999999999999</v>
      </c>
      <c r="I127" s="1231">
        <v>6772.1807999999992</v>
      </c>
      <c r="J127" s="1231">
        <v>8465.2259999999987</v>
      </c>
      <c r="K127" s="1232">
        <f t="shared" si="2"/>
        <v>1.1105779949413498E-3</v>
      </c>
      <c r="L127" s="1232">
        <f t="shared" si="3"/>
        <v>0.89925649302483479</v>
      </c>
      <c r="M127" s="1233" t="s">
        <v>2733</v>
      </c>
    </row>
    <row r="128" spans="1:15">
      <c r="A128" s="1226">
        <v>2450</v>
      </c>
      <c r="B128" s="1227" t="s">
        <v>67</v>
      </c>
      <c r="C128" s="1227" t="s">
        <v>1366</v>
      </c>
      <c r="D128" s="1228" t="s">
        <v>1367</v>
      </c>
      <c r="E128" s="1226" t="s">
        <v>61</v>
      </c>
      <c r="F128" s="1229">
        <v>2935.4</v>
      </c>
      <c r="G128" s="1263">
        <v>2.2799999999999998</v>
      </c>
      <c r="H128" s="1251">
        <v>2.8499999999999996</v>
      </c>
      <c r="I128" s="1251">
        <v>6692.7119999999995</v>
      </c>
      <c r="J128" s="1251">
        <v>8365.89</v>
      </c>
      <c r="K128" s="1232">
        <f t="shared" si="2"/>
        <v>1.0975458117833934E-3</v>
      </c>
      <c r="L128" s="1232">
        <f t="shared" si="3"/>
        <v>0.90035403883661813</v>
      </c>
      <c r="M128" s="1233" t="s">
        <v>2733</v>
      </c>
    </row>
    <row r="129" spans="1:13" ht="42.75">
      <c r="A129" s="1226">
        <v>98564</v>
      </c>
      <c r="B129" s="1227" t="s">
        <v>26</v>
      </c>
      <c r="C129" s="1226" t="s">
        <v>287</v>
      </c>
      <c r="D129" s="1236" t="s">
        <v>288</v>
      </c>
      <c r="E129" s="1237" t="s">
        <v>61</v>
      </c>
      <c r="F129" s="1238">
        <v>140.90575000000001</v>
      </c>
      <c r="G129" s="1230">
        <v>47.07</v>
      </c>
      <c r="H129" s="1231">
        <v>58.837499999999999</v>
      </c>
      <c r="I129" s="1231">
        <v>6632.4336525000008</v>
      </c>
      <c r="J129" s="1231">
        <v>8290.5420656250008</v>
      </c>
      <c r="K129" s="1232">
        <f t="shared" si="2"/>
        <v>1.0876606937864071E-3</v>
      </c>
      <c r="L129" s="1232">
        <f t="shared" si="3"/>
        <v>0.90144169953040454</v>
      </c>
      <c r="M129" s="1233" t="s">
        <v>2733</v>
      </c>
    </row>
    <row r="130" spans="1:13" ht="68.25" customHeight="1">
      <c r="A130" s="1226" t="s">
        <v>2476</v>
      </c>
      <c r="B130" s="1227"/>
      <c r="C130" s="1227" t="s">
        <v>320</v>
      </c>
      <c r="D130" s="1236" t="s">
        <v>2477</v>
      </c>
      <c r="E130" s="1237" t="s">
        <v>61</v>
      </c>
      <c r="F130" s="1238">
        <v>8.52</v>
      </c>
      <c r="G130" s="1230">
        <v>778.35</v>
      </c>
      <c r="H130" s="1231">
        <v>972.9375</v>
      </c>
      <c r="I130" s="1231">
        <v>6631.5419999999995</v>
      </c>
      <c r="J130" s="1261">
        <v>8289.4274999999998</v>
      </c>
      <c r="K130" s="1232">
        <f t="shared" ref="K130:K193" si="4">J130/$N$1</f>
        <v>1.0875144706309892E-3</v>
      </c>
      <c r="L130" s="1232">
        <f t="shared" si="3"/>
        <v>0.90252921400103547</v>
      </c>
      <c r="M130" s="1233" t="s">
        <v>2733</v>
      </c>
    </row>
    <row r="131" spans="1:13" ht="42.75">
      <c r="A131" s="1239">
        <v>10337</v>
      </c>
      <c r="B131" s="1227" t="s">
        <v>67</v>
      </c>
      <c r="C131" s="1237" t="s">
        <v>227</v>
      </c>
      <c r="D131" s="1228" t="s">
        <v>228</v>
      </c>
      <c r="E131" s="1226" t="s">
        <v>109</v>
      </c>
      <c r="F131" s="1229">
        <v>1.9032</v>
      </c>
      <c r="G131" s="1230">
        <v>3446.02</v>
      </c>
      <c r="H131" s="1231">
        <v>4307.5249999999996</v>
      </c>
      <c r="I131" s="1231">
        <v>6558.4652640000004</v>
      </c>
      <c r="J131" s="1231">
        <v>8198.08158</v>
      </c>
      <c r="K131" s="1232">
        <f t="shared" si="4"/>
        <v>1.0755305296612299E-3</v>
      </c>
      <c r="L131" s="1232">
        <f t="shared" si="3"/>
        <v>0.90360474453069672</v>
      </c>
      <c r="M131" s="1233" t="s">
        <v>2733</v>
      </c>
    </row>
    <row r="132" spans="1:13" ht="59.25" customHeight="1">
      <c r="A132" s="1226">
        <v>90441</v>
      </c>
      <c r="B132" s="1227" t="s">
        <v>26</v>
      </c>
      <c r="C132" s="1226" t="s">
        <v>268</v>
      </c>
      <c r="D132" s="1228" t="s">
        <v>269</v>
      </c>
      <c r="E132" s="1226" t="s">
        <v>96</v>
      </c>
      <c r="F132" s="1229">
        <v>54</v>
      </c>
      <c r="G132" s="1230">
        <v>120.19</v>
      </c>
      <c r="H132" s="1231">
        <v>150.23750000000001</v>
      </c>
      <c r="I132" s="1231">
        <v>6490.26</v>
      </c>
      <c r="J132" s="1231">
        <v>8112.8250000000007</v>
      </c>
      <c r="K132" s="1232">
        <f t="shared" si="4"/>
        <v>1.0643454671865886E-3</v>
      </c>
      <c r="L132" s="1232">
        <f t="shared" ref="L132:L195" si="5">K132+L131</f>
        <v>0.90466908999788331</v>
      </c>
      <c r="M132" s="1233" t="s">
        <v>2733</v>
      </c>
    </row>
    <row r="133" spans="1:13" ht="19.899999999999999" customHeight="1">
      <c r="A133" s="1226">
        <v>4654</v>
      </c>
      <c r="B133" s="1227" t="s">
        <v>67</v>
      </c>
      <c r="C133" s="1227" t="s">
        <v>83</v>
      </c>
      <c r="D133" s="1228" t="s">
        <v>84</v>
      </c>
      <c r="E133" s="1226" t="s">
        <v>80</v>
      </c>
      <c r="F133" s="1249">
        <v>8</v>
      </c>
      <c r="G133" s="1250">
        <v>800</v>
      </c>
      <c r="H133" s="1231">
        <v>1000</v>
      </c>
      <c r="I133" s="1231">
        <v>6400</v>
      </c>
      <c r="J133" s="1231">
        <v>8000</v>
      </c>
      <c r="K133" s="1232">
        <f t="shared" si="4"/>
        <v>1.0495436222885011E-3</v>
      </c>
      <c r="L133" s="1232">
        <f t="shared" si="5"/>
        <v>0.9057186336201718</v>
      </c>
      <c r="M133" s="1233" t="s">
        <v>2733</v>
      </c>
    </row>
    <row r="134" spans="1:13" ht="21" customHeight="1">
      <c r="A134" s="1252" t="s">
        <v>402</v>
      </c>
      <c r="B134" s="1253" t="s">
        <v>67</v>
      </c>
      <c r="C134" s="1227" t="s">
        <v>403</v>
      </c>
      <c r="D134" s="1236" t="s">
        <v>404</v>
      </c>
      <c r="E134" s="1237" t="s">
        <v>61</v>
      </c>
      <c r="F134" s="1238">
        <v>406.54790000000003</v>
      </c>
      <c r="G134" s="1230">
        <v>15.34</v>
      </c>
      <c r="H134" s="1230">
        <v>19.175000000000001</v>
      </c>
      <c r="I134" s="1231">
        <v>6236.444786</v>
      </c>
      <c r="J134" s="1231">
        <v>7795.5559825000009</v>
      </c>
      <c r="K134" s="1232">
        <f t="shared" si="4"/>
        <v>1.0227220079532307E-3</v>
      </c>
      <c r="L134" s="1232">
        <f t="shared" si="5"/>
        <v>0.90674135562812508</v>
      </c>
      <c r="M134" s="1233" t="s">
        <v>2733</v>
      </c>
    </row>
    <row r="135" spans="1:13" ht="57">
      <c r="A135" s="1226">
        <v>7788</v>
      </c>
      <c r="B135" s="1227" t="s">
        <v>67</v>
      </c>
      <c r="C135" s="1227" t="s">
        <v>299</v>
      </c>
      <c r="D135" s="1236" t="s">
        <v>300</v>
      </c>
      <c r="E135" s="1237" t="s">
        <v>55</v>
      </c>
      <c r="F135" s="1238">
        <v>4</v>
      </c>
      <c r="G135" s="1244">
        <v>1558.2</v>
      </c>
      <c r="H135" s="1264">
        <v>1947.75</v>
      </c>
      <c r="I135" s="1231">
        <v>6232.8</v>
      </c>
      <c r="J135" s="1261">
        <v>7791</v>
      </c>
      <c r="K135" s="1232">
        <f t="shared" si="4"/>
        <v>1.022124295156214E-3</v>
      </c>
      <c r="L135" s="1232">
        <f t="shared" si="5"/>
        <v>0.90776347992328132</v>
      </c>
      <c r="M135" s="1233" t="s">
        <v>2733</v>
      </c>
    </row>
    <row r="136" spans="1:13">
      <c r="A136" s="1226"/>
      <c r="B136" s="1227" t="s">
        <v>62</v>
      </c>
      <c r="C136" s="1227" t="s">
        <v>63</v>
      </c>
      <c r="D136" s="1265" t="s">
        <v>64</v>
      </c>
      <c r="E136" s="1226" t="s">
        <v>61</v>
      </c>
      <c r="F136" s="1242">
        <v>2932.4</v>
      </c>
      <c r="G136" s="1230">
        <v>2.11</v>
      </c>
      <c r="H136" s="1231">
        <v>2.6374999999999997</v>
      </c>
      <c r="I136" s="1231">
        <v>6187.3639999999996</v>
      </c>
      <c r="J136" s="1231">
        <v>7734.204999999999</v>
      </c>
      <c r="K136" s="1232">
        <f t="shared" si="4"/>
        <v>1.0146731914027294E-3</v>
      </c>
      <c r="L136" s="1232">
        <f t="shared" si="5"/>
        <v>0.90877815311468402</v>
      </c>
      <c r="M136" s="1233" t="s">
        <v>2733</v>
      </c>
    </row>
    <row r="137" spans="1:13" ht="33" customHeight="1">
      <c r="A137" s="1226">
        <v>13274</v>
      </c>
      <c r="B137" s="1227" t="s">
        <v>67</v>
      </c>
      <c r="C137" s="1227" t="s">
        <v>1239</v>
      </c>
      <c r="D137" s="1228" t="s">
        <v>1240</v>
      </c>
      <c r="E137" s="1226" t="s">
        <v>55</v>
      </c>
      <c r="F137" s="1229">
        <v>16</v>
      </c>
      <c r="G137" s="1230">
        <v>379.98</v>
      </c>
      <c r="H137" s="1231">
        <v>474.97500000000002</v>
      </c>
      <c r="I137" s="1231">
        <v>6079.68</v>
      </c>
      <c r="J137" s="1231">
        <v>7599.6</v>
      </c>
      <c r="K137" s="1232">
        <f t="shared" si="4"/>
        <v>9.9701396399296178E-4</v>
      </c>
      <c r="L137" s="1232">
        <f t="shared" si="5"/>
        <v>0.90977516707867701</v>
      </c>
      <c r="M137" s="1233" t="s">
        <v>2733</v>
      </c>
    </row>
    <row r="138" spans="1:13">
      <c r="A138" s="1226" t="s">
        <v>531</v>
      </c>
      <c r="B138" s="1227"/>
      <c r="C138" s="1243" t="s">
        <v>532</v>
      </c>
      <c r="D138" s="1266" t="s">
        <v>533</v>
      </c>
      <c r="E138" s="1237" t="s">
        <v>55</v>
      </c>
      <c r="F138" s="1267">
        <v>2</v>
      </c>
      <c r="G138" s="1244">
        <v>3031.9</v>
      </c>
      <c r="H138" s="1245">
        <v>3789.875</v>
      </c>
      <c r="I138" s="1231">
        <v>6063.8</v>
      </c>
      <c r="J138" s="1231">
        <v>7579.75</v>
      </c>
      <c r="K138" s="1232">
        <f t="shared" si="4"/>
        <v>9.944097838801584E-4</v>
      </c>
      <c r="L138" s="1232">
        <f t="shared" si="5"/>
        <v>0.91076957686255722</v>
      </c>
      <c r="M138" s="1233" t="s">
        <v>2733</v>
      </c>
    </row>
    <row r="139" spans="1:13">
      <c r="A139" s="1226">
        <v>8637</v>
      </c>
      <c r="B139" s="1227" t="s">
        <v>67</v>
      </c>
      <c r="C139" s="1226" t="s">
        <v>266</v>
      </c>
      <c r="D139" s="1228" t="s">
        <v>267</v>
      </c>
      <c r="E139" s="1226" t="s">
        <v>61</v>
      </c>
      <c r="F139" s="1229">
        <v>107.79929999999999</v>
      </c>
      <c r="G139" s="1230">
        <v>56.08</v>
      </c>
      <c r="H139" s="1231">
        <v>70.099999999999994</v>
      </c>
      <c r="I139" s="1231">
        <v>6045.384743999999</v>
      </c>
      <c r="J139" s="1231">
        <v>7556.7309299999988</v>
      </c>
      <c r="K139" s="1232">
        <f t="shared" si="4"/>
        <v>9.9138984411646907E-4</v>
      </c>
      <c r="L139" s="1232">
        <f t="shared" si="5"/>
        <v>0.91176096670667373</v>
      </c>
      <c r="M139" s="1233" t="s">
        <v>2733</v>
      </c>
    </row>
    <row r="140" spans="1:13" ht="44.25">
      <c r="A140" s="1226">
        <v>92004</v>
      </c>
      <c r="B140" s="1227" t="s">
        <v>26</v>
      </c>
      <c r="C140" s="1226" t="s">
        <v>1004</v>
      </c>
      <c r="D140" s="1228" t="s">
        <v>1005</v>
      </c>
      <c r="E140" s="1226" t="s">
        <v>55</v>
      </c>
      <c r="F140" s="1229">
        <v>110</v>
      </c>
      <c r="G140" s="1230">
        <v>52.81</v>
      </c>
      <c r="H140" s="1231">
        <v>66.012500000000003</v>
      </c>
      <c r="I140" s="1231">
        <v>5809.1</v>
      </c>
      <c r="J140" s="1231">
        <v>7261.375</v>
      </c>
      <c r="K140" s="1232">
        <f t="shared" si="4"/>
        <v>9.5264122753689563E-4</v>
      </c>
      <c r="L140" s="1232">
        <f t="shared" si="5"/>
        <v>0.91271360793421064</v>
      </c>
      <c r="M140" s="1233" t="s">
        <v>2733</v>
      </c>
    </row>
    <row r="141" spans="1:13" ht="57">
      <c r="A141" s="1226">
        <v>86931</v>
      </c>
      <c r="B141" s="1227" t="s">
        <v>26</v>
      </c>
      <c r="C141" s="1227" t="s">
        <v>626</v>
      </c>
      <c r="D141" s="1236" t="s">
        <v>627</v>
      </c>
      <c r="E141" s="1237" t="s">
        <v>55</v>
      </c>
      <c r="F141" s="1238">
        <v>12</v>
      </c>
      <c r="G141" s="1230">
        <v>483.73</v>
      </c>
      <c r="H141" s="1231">
        <v>604.66250000000002</v>
      </c>
      <c r="I141" s="1231">
        <v>5804.76</v>
      </c>
      <c r="J141" s="1231">
        <v>7255.9500000000007</v>
      </c>
      <c r="K141" s="1232">
        <f t="shared" si="4"/>
        <v>9.5192950576803131E-4</v>
      </c>
      <c r="L141" s="1232">
        <f t="shared" si="5"/>
        <v>0.91366553743997869</v>
      </c>
      <c r="M141" s="1233" t="s">
        <v>2733</v>
      </c>
    </row>
    <row r="142" spans="1:13" collapsed="1">
      <c r="A142" s="1226" t="s">
        <v>2578</v>
      </c>
      <c r="B142" s="1227"/>
      <c r="C142" s="1227" t="s">
        <v>713</v>
      </c>
      <c r="D142" s="1228" t="s">
        <v>714</v>
      </c>
      <c r="E142" s="1226" t="s">
        <v>246</v>
      </c>
      <c r="F142" s="1229">
        <v>132</v>
      </c>
      <c r="G142" s="1230">
        <v>43.560995073891625</v>
      </c>
      <c r="H142" s="1231">
        <v>54.451243842364534</v>
      </c>
      <c r="I142" s="1231">
        <v>5750.0513497536949</v>
      </c>
      <c r="J142" s="1231">
        <v>7187.564187192118</v>
      </c>
      <c r="K142" s="1232">
        <f t="shared" si="4"/>
        <v>9.4295776905709027E-4</v>
      </c>
      <c r="L142" s="1232">
        <f t="shared" si="5"/>
        <v>0.91460849520903575</v>
      </c>
      <c r="M142" s="1233" t="s">
        <v>2733</v>
      </c>
    </row>
    <row r="143" spans="1:13" ht="69" customHeight="1">
      <c r="A143" s="1239">
        <v>4719</v>
      </c>
      <c r="B143" s="1240" t="s">
        <v>67</v>
      </c>
      <c r="C143" s="1227" t="s">
        <v>605</v>
      </c>
      <c r="D143" s="1266" t="s">
        <v>606</v>
      </c>
      <c r="E143" s="1237" t="s">
        <v>55</v>
      </c>
      <c r="F143" s="1267">
        <v>12</v>
      </c>
      <c r="G143" s="1244">
        <v>476.54</v>
      </c>
      <c r="H143" s="1245">
        <v>595.67500000000007</v>
      </c>
      <c r="I143" s="1231">
        <v>5718.4800000000005</v>
      </c>
      <c r="J143" s="1231">
        <v>7148.1</v>
      </c>
      <c r="K143" s="1232">
        <f t="shared" si="4"/>
        <v>9.3778034581005446E-4</v>
      </c>
      <c r="L143" s="1232">
        <f t="shared" si="5"/>
        <v>0.9155462755548458</v>
      </c>
      <c r="M143" s="1233" t="s">
        <v>2733</v>
      </c>
    </row>
    <row r="144" spans="1:13" ht="28.5" collapsed="1">
      <c r="A144" s="1239">
        <v>1530</v>
      </c>
      <c r="B144" s="1240" t="s">
        <v>67</v>
      </c>
      <c r="C144" s="1227" t="s">
        <v>583</v>
      </c>
      <c r="D144" s="1241" t="s">
        <v>584</v>
      </c>
      <c r="E144" s="1226" t="s">
        <v>246</v>
      </c>
      <c r="F144" s="1242">
        <v>234</v>
      </c>
      <c r="G144" s="1230">
        <v>23.83</v>
      </c>
      <c r="H144" s="1231">
        <v>29.787499999999998</v>
      </c>
      <c r="I144" s="1231">
        <v>5576.2199999999993</v>
      </c>
      <c r="J144" s="1231">
        <v>6970.2749999999996</v>
      </c>
      <c r="K144" s="1232">
        <f t="shared" si="4"/>
        <v>9.1445095898087271E-4</v>
      </c>
      <c r="L144" s="1232">
        <f t="shared" si="5"/>
        <v>0.91646072651382671</v>
      </c>
      <c r="M144" s="1233" t="s">
        <v>2733</v>
      </c>
    </row>
    <row r="145" spans="1:13" ht="57">
      <c r="A145" s="1226">
        <v>11179</v>
      </c>
      <c r="B145" s="1227" t="s">
        <v>67</v>
      </c>
      <c r="C145" s="1227" t="s">
        <v>354</v>
      </c>
      <c r="D145" s="1236" t="s">
        <v>355</v>
      </c>
      <c r="E145" s="1237" t="s">
        <v>61</v>
      </c>
      <c r="F145" s="1238">
        <v>48.180199999999992</v>
      </c>
      <c r="G145" s="1230">
        <v>115.47</v>
      </c>
      <c r="H145" s="1230">
        <v>144.33750000000001</v>
      </c>
      <c r="I145" s="1231">
        <v>5563.3676939999987</v>
      </c>
      <c r="J145" s="1231">
        <v>6954.2096174999988</v>
      </c>
      <c r="K145" s="1232">
        <f t="shared" si="4"/>
        <v>9.1234329401306013E-4</v>
      </c>
      <c r="L145" s="1232">
        <f t="shared" si="5"/>
        <v>0.91737306980783972</v>
      </c>
      <c r="M145" s="1233" t="s">
        <v>2733</v>
      </c>
    </row>
    <row r="146" spans="1:13" ht="72.75" customHeight="1">
      <c r="A146" s="1226">
        <v>100701</v>
      </c>
      <c r="B146" s="1237" t="s">
        <v>26</v>
      </c>
      <c r="C146" s="1227" t="s">
        <v>318</v>
      </c>
      <c r="D146" s="1236" t="s">
        <v>319</v>
      </c>
      <c r="E146" s="1237" t="s">
        <v>61</v>
      </c>
      <c r="F146" s="1238">
        <v>8.4000000000000021</v>
      </c>
      <c r="G146" s="1230">
        <v>661.53</v>
      </c>
      <c r="H146" s="1231">
        <v>826.91249999999991</v>
      </c>
      <c r="I146" s="1231">
        <v>5556.8520000000008</v>
      </c>
      <c r="J146" s="1261">
        <v>6946.0650000000014</v>
      </c>
      <c r="K146" s="1232">
        <f t="shared" si="4"/>
        <v>9.1127477759392241E-4</v>
      </c>
      <c r="L146" s="1232">
        <f t="shared" si="5"/>
        <v>0.91828434458543362</v>
      </c>
      <c r="M146" s="1233" t="s">
        <v>2733</v>
      </c>
    </row>
    <row r="147" spans="1:13" ht="42.75">
      <c r="A147" s="1226">
        <v>91856</v>
      </c>
      <c r="B147" s="1227" t="s">
        <v>26</v>
      </c>
      <c r="C147" s="1226" t="s">
        <v>1043</v>
      </c>
      <c r="D147" s="1228" t="s">
        <v>1044</v>
      </c>
      <c r="E147" s="1226" t="s">
        <v>246</v>
      </c>
      <c r="F147" s="1229">
        <v>480.09599999999995</v>
      </c>
      <c r="G147" s="1230">
        <v>11.45</v>
      </c>
      <c r="H147" s="1231">
        <v>14.3125</v>
      </c>
      <c r="I147" s="1231">
        <v>5497.0991999999987</v>
      </c>
      <c r="J147" s="1231">
        <v>6871.3739999999989</v>
      </c>
      <c r="K147" s="1232">
        <f t="shared" si="4"/>
        <v>9.014758447573783E-4</v>
      </c>
      <c r="L147" s="1232">
        <f t="shared" si="5"/>
        <v>0.91918582043019104</v>
      </c>
      <c r="M147" s="1233" t="s">
        <v>2733</v>
      </c>
    </row>
    <row r="148" spans="1:13" ht="28.5">
      <c r="A148" s="1226" t="s">
        <v>2717</v>
      </c>
      <c r="B148" s="1227" t="s">
        <v>67</v>
      </c>
      <c r="C148" s="1227" t="s">
        <v>1114</v>
      </c>
      <c r="D148" s="1228" t="s">
        <v>2716</v>
      </c>
      <c r="E148" s="1226" t="s">
        <v>55</v>
      </c>
      <c r="F148" s="1229">
        <v>232</v>
      </c>
      <c r="G148" s="1230">
        <v>23.68</v>
      </c>
      <c r="H148" s="1231">
        <v>29.6</v>
      </c>
      <c r="I148" s="1231">
        <v>5493.76</v>
      </c>
      <c r="J148" s="1231">
        <v>6867.2000000000007</v>
      </c>
      <c r="K148" s="1232">
        <f t="shared" si="4"/>
        <v>9.0092824537244941E-4</v>
      </c>
      <c r="L148" s="1232">
        <f t="shared" si="5"/>
        <v>0.9200867486755635</v>
      </c>
      <c r="M148" s="1233" t="s">
        <v>2733</v>
      </c>
    </row>
    <row r="149" spans="1:13" ht="31.5" customHeight="1">
      <c r="A149" s="1226"/>
      <c r="B149" s="1227" t="s">
        <v>58</v>
      </c>
      <c r="C149" s="1227" t="s">
        <v>59</v>
      </c>
      <c r="D149" s="1265" t="s">
        <v>60</v>
      </c>
      <c r="E149" s="1226" t="s">
        <v>61</v>
      </c>
      <c r="F149" s="1242">
        <v>2932.4</v>
      </c>
      <c r="G149" s="1230">
        <v>1.86</v>
      </c>
      <c r="H149" s="1231">
        <v>2.3250000000000002</v>
      </c>
      <c r="I149" s="1231">
        <v>5454.2640000000001</v>
      </c>
      <c r="J149" s="1231">
        <v>6817.8300000000008</v>
      </c>
      <c r="K149" s="1232">
        <f t="shared" si="4"/>
        <v>8.9445124929340156E-4</v>
      </c>
      <c r="L149" s="1232">
        <f t="shared" si="5"/>
        <v>0.92098119992485694</v>
      </c>
      <c r="M149" s="1233" t="s">
        <v>2733</v>
      </c>
    </row>
    <row r="150" spans="1:13" ht="42.75">
      <c r="A150" s="1226">
        <v>101875</v>
      </c>
      <c r="B150" s="1227" t="s">
        <v>26</v>
      </c>
      <c r="C150" s="1226" t="s">
        <v>1029</v>
      </c>
      <c r="D150" s="1228" t="s">
        <v>1030</v>
      </c>
      <c r="E150" s="1226" t="s">
        <v>55</v>
      </c>
      <c r="F150" s="1229">
        <v>10</v>
      </c>
      <c r="G150" s="1230">
        <v>544.94000000000005</v>
      </c>
      <c r="H150" s="1231">
        <v>681.17500000000007</v>
      </c>
      <c r="I150" s="1231">
        <v>5449.4000000000005</v>
      </c>
      <c r="J150" s="1231">
        <v>6811.7500000000009</v>
      </c>
      <c r="K150" s="1232">
        <f t="shared" si="4"/>
        <v>8.936535961404623E-4</v>
      </c>
      <c r="L150" s="1232">
        <f t="shared" si="5"/>
        <v>0.92187485352099741</v>
      </c>
      <c r="M150" s="1233" t="s">
        <v>2733</v>
      </c>
    </row>
    <row r="151" spans="1:13" ht="29.25">
      <c r="A151" s="1226">
        <v>11483</v>
      </c>
      <c r="B151" s="1227" t="s">
        <v>67</v>
      </c>
      <c r="C151" s="1227" t="s">
        <v>162</v>
      </c>
      <c r="D151" s="1257" t="s">
        <v>163</v>
      </c>
      <c r="E151" s="1226" t="s">
        <v>109</v>
      </c>
      <c r="F151" s="1229">
        <v>9.6596000000000011</v>
      </c>
      <c r="G151" s="1230">
        <v>552.78</v>
      </c>
      <c r="H151" s="1231">
        <v>690.97499999999991</v>
      </c>
      <c r="I151" s="1231">
        <v>5339.6336879999999</v>
      </c>
      <c r="J151" s="1231">
        <v>6674.5421099999994</v>
      </c>
      <c r="K151" s="1232">
        <f t="shared" si="4"/>
        <v>8.7565288790581689E-4</v>
      </c>
      <c r="L151" s="1232">
        <f t="shared" si="5"/>
        <v>0.92275050640890321</v>
      </c>
      <c r="M151" s="1233" t="s">
        <v>2733</v>
      </c>
    </row>
    <row r="152" spans="1:13" ht="43.5" customHeight="1">
      <c r="A152" s="1226">
        <v>95986</v>
      </c>
      <c r="B152" s="1227" t="s">
        <v>26</v>
      </c>
      <c r="C152" s="1227" t="s">
        <v>918</v>
      </c>
      <c r="D152" s="1228" t="s">
        <v>919</v>
      </c>
      <c r="E152" s="1226" t="s">
        <v>246</v>
      </c>
      <c r="F152" s="1229">
        <v>137.35999999999999</v>
      </c>
      <c r="G152" s="1230">
        <v>38.86</v>
      </c>
      <c r="H152" s="1231">
        <v>48.575000000000003</v>
      </c>
      <c r="I152" s="1231">
        <v>5337.8095999999996</v>
      </c>
      <c r="J152" s="1231">
        <v>6672.2619999999997</v>
      </c>
      <c r="K152" s="1232">
        <f t="shared" si="4"/>
        <v>8.7535375354223983E-4</v>
      </c>
      <c r="L152" s="1232">
        <f t="shared" si="5"/>
        <v>0.92362586016244541</v>
      </c>
      <c r="M152" s="1233" t="s">
        <v>2733</v>
      </c>
    </row>
    <row r="153" spans="1:13" ht="42.75">
      <c r="A153" s="1268">
        <v>8188</v>
      </c>
      <c r="B153" s="1254" t="s">
        <v>67</v>
      </c>
      <c r="C153" s="1227" t="s">
        <v>838</v>
      </c>
      <c r="D153" s="1228" t="s">
        <v>839</v>
      </c>
      <c r="E153" s="1226" t="s">
        <v>246</v>
      </c>
      <c r="F153" s="1229">
        <v>164.61600000000001</v>
      </c>
      <c r="G153" s="1230">
        <v>32.35</v>
      </c>
      <c r="H153" s="1231">
        <v>40.4375</v>
      </c>
      <c r="I153" s="1231">
        <v>5325.3276000000005</v>
      </c>
      <c r="J153" s="1231">
        <v>6656.6595000000007</v>
      </c>
      <c r="K153" s="1232">
        <f t="shared" si="4"/>
        <v>8.7330681549639547E-4</v>
      </c>
      <c r="L153" s="1232">
        <f t="shared" si="5"/>
        <v>0.92449916697794177</v>
      </c>
      <c r="M153" s="1233" t="s">
        <v>2733</v>
      </c>
    </row>
    <row r="154" spans="1:13" ht="57">
      <c r="A154" s="1226">
        <v>11365</v>
      </c>
      <c r="B154" s="1227" t="s">
        <v>67</v>
      </c>
      <c r="C154" s="1226" t="s">
        <v>1278</v>
      </c>
      <c r="D154" s="1228" t="s">
        <v>1279</v>
      </c>
      <c r="E154" s="1226" t="s">
        <v>61</v>
      </c>
      <c r="F154" s="1242">
        <v>7.4340000000000002</v>
      </c>
      <c r="G154" s="1230">
        <v>716.05</v>
      </c>
      <c r="H154" s="1231">
        <v>895.0625</v>
      </c>
      <c r="I154" s="1231">
        <v>5323.1156999999994</v>
      </c>
      <c r="J154" s="1231">
        <v>6653.8946249999999</v>
      </c>
      <c r="K154" s="1232">
        <f t="shared" si="4"/>
        <v>8.7294408338106102E-4</v>
      </c>
      <c r="L154" s="1232">
        <f t="shared" si="5"/>
        <v>0.92537211106132278</v>
      </c>
      <c r="M154" s="1233" t="s">
        <v>2733</v>
      </c>
    </row>
    <row r="155" spans="1:13">
      <c r="A155" s="1226">
        <v>8761</v>
      </c>
      <c r="B155" s="1227" t="s">
        <v>67</v>
      </c>
      <c r="C155" s="1226" t="s">
        <v>1335</v>
      </c>
      <c r="D155" s="1228" t="s">
        <v>2730</v>
      </c>
      <c r="E155" s="1237" t="s">
        <v>55</v>
      </c>
      <c r="F155" s="1238">
        <v>50</v>
      </c>
      <c r="G155" s="1251">
        <v>104.94</v>
      </c>
      <c r="H155" s="1251">
        <v>131.17500000000001</v>
      </c>
      <c r="I155" s="1251">
        <v>5247</v>
      </c>
      <c r="J155" s="1251">
        <v>6558.7500000000009</v>
      </c>
      <c r="K155" s="1232">
        <f t="shared" si="4"/>
        <v>8.6046177908558844E-4</v>
      </c>
      <c r="L155" s="1232">
        <f t="shared" si="5"/>
        <v>0.92623257284040839</v>
      </c>
      <c r="M155" s="1233" t="s">
        <v>2733</v>
      </c>
    </row>
    <row r="156" spans="1:13" ht="42.75">
      <c r="A156" s="1226">
        <v>97627</v>
      </c>
      <c r="B156" s="1227" t="s">
        <v>26</v>
      </c>
      <c r="C156" s="1227" t="s">
        <v>110</v>
      </c>
      <c r="D156" s="1228" t="s">
        <v>111</v>
      </c>
      <c r="E156" s="1226" t="s">
        <v>109</v>
      </c>
      <c r="F156" s="1249">
        <v>21.024389999999997</v>
      </c>
      <c r="G156" s="1250">
        <v>248.2</v>
      </c>
      <c r="H156" s="1230">
        <v>310.25</v>
      </c>
      <c r="I156" s="1231">
        <v>5218.2535979999993</v>
      </c>
      <c r="J156" s="1231">
        <v>6522.8169974999992</v>
      </c>
      <c r="K156" s="1232">
        <f t="shared" si="4"/>
        <v>8.5574762238514431E-4</v>
      </c>
      <c r="L156" s="1232">
        <f t="shared" si="5"/>
        <v>0.92708832046279355</v>
      </c>
      <c r="M156" s="1233" t="s">
        <v>2733</v>
      </c>
    </row>
    <row r="157" spans="1:13" ht="42.75">
      <c r="A157" s="1226">
        <v>91872</v>
      </c>
      <c r="B157" s="1227" t="s">
        <v>26</v>
      </c>
      <c r="C157" s="1227" t="s">
        <v>1119</v>
      </c>
      <c r="D157" s="1228" t="s">
        <v>1118</v>
      </c>
      <c r="E157" s="1226" t="s">
        <v>246</v>
      </c>
      <c r="F157" s="1229">
        <v>302.29199999999997</v>
      </c>
      <c r="G157" s="1230">
        <v>16.98</v>
      </c>
      <c r="H157" s="1231">
        <v>21.225000000000001</v>
      </c>
      <c r="I157" s="1231">
        <v>5132.9181599999993</v>
      </c>
      <c r="J157" s="1231">
        <v>6416.1476999999995</v>
      </c>
      <c r="K157" s="1232">
        <f t="shared" si="4"/>
        <v>8.4175336227450433E-4</v>
      </c>
      <c r="L157" s="1232">
        <f t="shared" si="5"/>
        <v>0.92793007382506809</v>
      </c>
      <c r="M157" s="1233" t="s">
        <v>2733</v>
      </c>
    </row>
    <row r="158" spans="1:13" ht="28.5">
      <c r="A158" s="1226">
        <v>93185</v>
      </c>
      <c r="B158" s="1227" t="s">
        <v>26</v>
      </c>
      <c r="C158" s="1227" t="s">
        <v>247</v>
      </c>
      <c r="D158" s="1228" t="s">
        <v>248</v>
      </c>
      <c r="E158" s="1226" t="s">
        <v>246</v>
      </c>
      <c r="F158" s="1229">
        <v>92.63000000000001</v>
      </c>
      <c r="G158" s="1230">
        <v>55.15</v>
      </c>
      <c r="H158" s="1230">
        <v>68.9375</v>
      </c>
      <c r="I158" s="1231">
        <v>5108.5445</v>
      </c>
      <c r="J158" s="1231">
        <v>6385.6806250000009</v>
      </c>
      <c r="K158" s="1232">
        <f t="shared" si="4"/>
        <v>8.3775629674250009E-4</v>
      </c>
      <c r="L158" s="1232">
        <f t="shared" si="5"/>
        <v>0.92876783012181063</v>
      </c>
      <c r="M158" s="1233" t="s">
        <v>2733</v>
      </c>
    </row>
    <row r="159" spans="1:13" ht="57">
      <c r="A159" s="1226">
        <v>7326</v>
      </c>
      <c r="B159" s="1227" t="s">
        <v>67</v>
      </c>
      <c r="C159" s="1227" t="s">
        <v>674</v>
      </c>
      <c r="D159" s="1236" t="s">
        <v>675</v>
      </c>
      <c r="E159" s="1237" t="s">
        <v>55</v>
      </c>
      <c r="F159" s="1238">
        <v>2</v>
      </c>
      <c r="G159" s="1230">
        <v>2540.67</v>
      </c>
      <c r="H159" s="1231">
        <v>3175.8375000000001</v>
      </c>
      <c r="I159" s="1231">
        <v>5081.34</v>
      </c>
      <c r="J159" s="1231">
        <v>6351.6750000000002</v>
      </c>
      <c r="K159" s="1232">
        <f t="shared" si="4"/>
        <v>8.3329499838741446E-4</v>
      </c>
      <c r="L159" s="1232">
        <f t="shared" si="5"/>
        <v>0.9296011251201981</v>
      </c>
      <c r="M159" s="1233" t="s">
        <v>2733</v>
      </c>
    </row>
    <row r="160" spans="1:13" ht="57">
      <c r="A160" s="1226">
        <v>7269</v>
      </c>
      <c r="B160" s="1227" t="s">
        <v>67</v>
      </c>
      <c r="C160" s="1227" t="s">
        <v>1192</v>
      </c>
      <c r="D160" s="1228" t="s">
        <v>1193</v>
      </c>
      <c r="E160" s="1226" t="s">
        <v>55</v>
      </c>
      <c r="F160" s="1229">
        <v>3</v>
      </c>
      <c r="G160" s="1230">
        <v>1642.7</v>
      </c>
      <c r="H160" s="1231">
        <v>2053.375</v>
      </c>
      <c r="I160" s="1231">
        <v>4928.1000000000004</v>
      </c>
      <c r="J160" s="1231">
        <v>6160.125</v>
      </c>
      <c r="K160" s="1232">
        <f t="shared" si="4"/>
        <v>8.0816498828124416E-4</v>
      </c>
      <c r="L160" s="1232">
        <f t="shared" si="5"/>
        <v>0.93040929010847939</v>
      </c>
      <c r="M160" s="1233" t="s">
        <v>2733</v>
      </c>
    </row>
    <row r="161" spans="1:15" ht="42.75">
      <c r="A161" s="1226">
        <v>94962</v>
      </c>
      <c r="B161" s="1227" t="s">
        <v>26</v>
      </c>
      <c r="C161" s="1227" t="s">
        <v>160</v>
      </c>
      <c r="D161" s="1228" t="s">
        <v>161</v>
      </c>
      <c r="E161" s="1226" t="s">
        <v>109</v>
      </c>
      <c r="F161" s="1229">
        <v>13.714850000000002</v>
      </c>
      <c r="G161" s="1230">
        <v>358.29</v>
      </c>
      <c r="H161" s="1231">
        <v>447.86250000000001</v>
      </c>
      <c r="I161" s="1231">
        <v>4913.8936065000007</v>
      </c>
      <c r="J161" s="1231">
        <v>6142.3670081250011</v>
      </c>
      <c r="K161" s="1232">
        <f t="shared" si="4"/>
        <v>8.0583526489161209E-4</v>
      </c>
      <c r="L161" s="1232">
        <f t="shared" si="5"/>
        <v>0.93121512537337103</v>
      </c>
      <c r="M161" s="1233" t="s">
        <v>2733</v>
      </c>
    </row>
    <row r="162" spans="1:15" ht="28.5">
      <c r="A162" s="1226">
        <v>96547</v>
      </c>
      <c r="B162" s="1227" t="s">
        <v>26</v>
      </c>
      <c r="C162" s="1227" t="s">
        <v>177</v>
      </c>
      <c r="D162" s="1228" t="s">
        <v>178</v>
      </c>
      <c r="E162" s="1226" t="s">
        <v>170</v>
      </c>
      <c r="F162" s="1229">
        <v>392</v>
      </c>
      <c r="G162" s="1230">
        <v>12.4</v>
      </c>
      <c r="H162" s="1231">
        <v>15.5</v>
      </c>
      <c r="I162" s="1231">
        <v>4860.8</v>
      </c>
      <c r="J162" s="1231">
        <v>6076</v>
      </c>
      <c r="K162" s="1232">
        <f t="shared" si="4"/>
        <v>7.9712838112811662E-4</v>
      </c>
      <c r="L162" s="1232">
        <f t="shared" si="5"/>
        <v>0.93201225375449914</v>
      </c>
      <c r="M162" s="1233" t="s">
        <v>2733</v>
      </c>
    </row>
    <row r="163" spans="1:15" ht="28.5">
      <c r="A163" s="1226">
        <v>104658</v>
      </c>
      <c r="B163" s="1227" t="s">
        <v>26</v>
      </c>
      <c r="C163" s="1227" t="s">
        <v>1305</v>
      </c>
      <c r="D163" s="1228" t="s">
        <v>1306</v>
      </c>
      <c r="E163" s="1237" t="s">
        <v>61</v>
      </c>
      <c r="F163" s="1238">
        <v>28.619999999999997</v>
      </c>
      <c r="G163" s="1231">
        <v>169.18</v>
      </c>
      <c r="H163" s="1231">
        <v>211.47500000000002</v>
      </c>
      <c r="I163" s="1231">
        <v>4841.9315999999999</v>
      </c>
      <c r="J163" s="1231">
        <v>6052.4144999999999</v>
      </c>
      <c r="K163" s="1232">
        <f t="shared" si="4"/>
        <v>7.9403412974018094E-4</v>
      </c>
      <c r="L163" s="1232">
        <f t="shared" si="5"/>
        <v>0.93280628788423936</v>
      </c>
      <c r="M163" s="1233" t="s">
        <v>2733</v>
      </c>
    </row>
    <row r="164" spans="1:15" ht="28.5">
      <c r="A164" s="1226">
        <v>88485</v>
      </c>
      <c r="B164" s="1227" t="s">
        <v>26</v>
      </c>
      <c r="C164" s="1235" t="s">
        <v>414</v>
      </c>
      <c r="D164" s="1236" t="s">
        <v>415</v>
      </c>
      <c r="E164" s="1237" t="s">
        <v>61</v>
      </c>
      <c r="F164" s="1238">
        <v>1452.8148799999999</v>
      </c>
      <c r="G164" s="1230">
        <v>3.19</v>
      </c>
      <c r="H164" s="1231">
        <v>3.9874999999999998</v>
      </c>
      <c r="I164" s="1231">
        <v>4634.4794671999998</v>
      </c>
      <c r="J164" s="1231">
        <v>5793.0993339999995</v>
      </c>
      <c r="K164" s="1232">
        <f t="shared" si="4"/>
        <v>7.6001380741043292E-4</v>
      </c>
      <c r="L164" s="1232">
        <f t="shared" si="5"/>
        <v>0.93356630169164978</v>
      </c>
      <c r="M164" s="1233" t="s">
        <v>2733</v>
      </c>
    </row>
    <row r="165" spans="1:15" ht="28.5" customHeight="1">
      <c r="A165" s="1226">
        <v>3669</v>
      </c>
      <c r="B165" s="1227" t="s">
        <v>67</v>
      </c>
      <c r="C165" s="1227" t="s">
        <v>623</v>
      </c>
      <c r="D165" s="1236" t="s">
        <v>624</v>
      </c>
      <c r="E165" s="1237" t="s">
        <v>55</v>
      </c>
      <c r="F165" s="1238">
        <v>12</v>
      </c>
      <c r="G165" s="1230">
        <v>385.43</v>
      </c>
      <c r="H165" s="1231">
        <v>481.78750000000002</v>
      </c>
      <c r="I165" s="1231">
        <v>4625.16</v>
      </c>
      <c r="J165" s="1231">
        <v>5781.4500000000007</v>
      </c>
      <c r="K165" s="1232">
        <f t="shared" si="4"/>
        <v>7.5848549688498198E-4</v>
      </c>
      <c r="L165" s="1232">
        <f t="shared" si="5"/>
        <v>0.93432478718853473</v>
      </c>
      <c r="M165" s="1233" t="s">
        <v>2733</v>
      </c>
    </row>
    <row r="166" spans="1:15" ht="31.5" customHeight="1">
      <c r="A166" s="1226" t="s">
        <v>358</v>
      </c>
      <c r="B166" s="1227"/>
      <c r="C166" s="1227" t="s">
        <v>359</v>
      </c>
      <c r="D166" s="1236" t="s">
        <v>360</v>
      </c>
      <c r="E166" s="1237" t="s">
        <v>55</v>
      </c>
      <c r="F166" s="1238">
        <v>20</v>
      </c>
      <c r="G166" s="1247">
        <v>229.9</v>
      </c>
      <c r="H166" s="1230">
        <v>287.375</v>
      </c>
      <c r="I166" s="1231">
        <v>4598</v>
      </c>
      <c r="J166" s="1231">
        <v>5747.5</v>
      </c>
      <c r="K166" s="1232">
        <f t="shared" si="4"/>
        <v>7.5403149613789504E-4</v>
      </c>
      <c r="L166" s="1232">
        <f t="shared" si="5"/>
        <v>0.93507881868467257</v>
      </c>
      <c r="M166" s="1233" t="s">
        <v>2733</v>
      </c>
    </row>
    <row r="167" spans="1:15" ht="63.75" customHeight="1">
      <c r="A167" s="1226">
        <v>91834</v>
      </c>
      <c r="B167" s="1227" t="s">
        <v>26</v>
      </c>
      <c r="C167" s="1227" t="s">
        <v>1134</v>
      </c>
      <c r="D167" s="1228" t="s">
        <v>1132</v>
      </c>
      <c r="E167" s="1226" t="s">
        <v>246</v>
      </c>
      <c r="F167" s="1229">
        <v>453.59999999999997</v>
      </c>
      <c r="G167" s="1230">
        <v>10.11</v>
      </c>
      <c r="H167" s="1231">
        <v>12.637499999999999</v>
      </c>
      <c r="I167" s="1231">
        <v>4585.8959999999997</v>
      </c>
      <c r="J167" s="1231">
        <v>5732.369999999999</v>
      </c>
      <c r="K167" s="1232">
        <f t="shared" si="4"/>
        <v>7.5204654676224174E-4</v>
      </c>
      <c r="L167" s="1232">
        <f t="shared" si="5"/>
        <v>0.93583086523143477</v>
      </c>
      <c r="M167" s="1233" t="s">
        <v>2733</v>
      </c>
    </row>
    <row r="168" spans="1:15" ht="79.5" customHeight="1">
      <c r="A168" s="1226">
        <v>8953</v>
      </c>
      <c r="B168" s="1227" t="s">
        <v>67</v>
      </c>
      <c r="C168" s="1227" t="s">
        <v>281</v>
      </c>
      <c r="D168" s="1228" t="s">
        <v>282</v>
      </c>
      <c r="E168" s="1226" t="s">
        <v>61</v>
      </c>
      <c r="F168" s="1229">
        <v>86.412879999999987</v>
      </c>
      <c r="G168" s="1230">
        <v>52.55</v>
      </c>
      <c r="H168" s="1231">
        <v>65.6875</v>
      </c>
      <c r="I168" s="1231">
        <v>4540.9968439999993</v>
      </c>
      <c r="J168" s="1231">
        <v>5676.2460549999987</v>
      </c>
      <c r="K168" s="1232">
        <f t="shared" si="4"/>
        <v>7.446834806956892E-4</v>
      </c>
      <c r="L168" s="1232">
        <f t="shared" si="5"/>
        <v>0.93657554871213045</v>
      </c>
      <c r="M168" s="1233" t="s">
        <v>2733</v>
      </c>
    </row>
    <row r="169" spans="1:15" ht="37.5" customHeight="1">
      <c r="A169" s="1239">
        <v>88264</v>
      </c>
      <c r="B169" s="1240" t="s">
        <v>26</v>
      </c>
      <c r="C169" s="1227" t="s">
        <v>1101</v>
      </c>
      <c r="D169" s="1228" t="s">
        <v>1102</v>
      </c>
      <c r="E169" s="1226" t="s">
        <v>40</v>
      </c>
      <c r="F169" s="1229">
        <v>160</v>
      </c>
      <c r="G169" s="1230">
        <v>28.21</v>
      </c>
      <c r="H169" s="1231">
        <v>35.262500000000003</v>
      </c>
      <c r="I169" s="1231">
        <v>4513.6000000000004</v>
      </c>
      <c r="J169" s="1231">
        <v>5642</v>
      </c>
      <c r="K169" s="1232">
        <f t="shared" si="4"/>
        <v>7.4019063961896538E-4</v>
      </c>
      <c r="L169" s="1232">
        <f t="shared" si="5"/>
        <v>0.93731573935174939</v>
      </c>
      <c r="M169" s="1233" t="s">
        <v>2733</v>
      </c>
    </row>
    <row r="170" spans="1:15" ht="42.75">
      <c r="A170" s="1226">
        <v>8539</v>
      </c>
      <c r="B170" s="1227" t="s">
        <v>67</v>
      </c>
      <c r="C170" s="1227" t="s">
        <v>1288</v>
      </c>
      <c r="D170" s="1228" t="s">
        <v>1289</v>
      </c>
      <c r="E170" s="1237" t="s">
        <v>246</v>
      </c>
      <c r="F170" s="1238">
        <v>8.7763999999999989</v>
      </c>
      <c r="G170" s="1262">
        <v>511.12</v>
      </c>
      <c r="H170" s="1231">
        <v>638.9</v>
      </c>
      <c r="I170" s="1231">
        <v>4485.7935679999991</v>
      </c>
      <c r="J170" s="1231">
        <v>5607.2419599999994</v>
      </c>
      <c r="K170" s="1232">
        <f t="shared" si="4"/>
        <v>7.3563062971830921E-4</v>
      </c>
      <c r="L170" s="1232">
        <f t="shared" si="5"/>
        <v>0.93805136998146765</v>
      </c>
      <c r="M170" s="1233" t="s">
        <v>2733</v>
      </c>
      <c r="N170" s="1206"/>
      <c r="O170" s="1206"/>
    </row>
    <row r="171" spans="1:15" ht="28.5">
      <c r="A171" s="1226">
        <v>7918</v>
      </c>
      <c r="B171" s="1227" t="s">
        <v>67</v>
      </c>
      <c r="C171" s="1227" t="s">
        <v>709</v>
      </c>
      <c r="D171" s="1228" t="s">
        <v>710</v>
      </c>
      <c r="E171" s="1226" t="s">
        <v>246</v>
      </c>
      <c r="F171" s="1229">
        <v>45.6</v>
      </c>
      <c r="G171" s="1230">
        <v>92.34</v>
      </c>
      <c r="H171" s="1231">
        <v>115.42500000000001</v>
      </c>
      <c r="I171" s="1231">
        <v>4210.7040000000006</v>
      </c>
      <c r="J171" s="1231">
        <v>5263.380000000001</v>
      </c>
      <c r="K171" s="1232">
        <f t="shared" si="4"/>
        <v>6.9051836383510657E-4</v>
      </c>
      <c r="L171" s="1232">
        <f t="shared" si="5"/>
        <v>0.93874188834530281</v>
      </c>
      <c r="M171" s="1233" t="s">
        <v>2733</v>
      </c>
    </row>
    <row r="172" spans="1:15">
      <c r="A172" s="1226">
        <v>7669</v>
      </c>
      <c r="B172" s="1227" t="s">
        <v>67</v>
      </c>
      <c r="C172" s="1226" t="s">
        <v>1332</v>
      </c>
      <c r="D172" s="1228" t="s">
        <v>1331</v>
      </c>
      <c r="E172" s="1237" t="s">
        <v>55</v>
      </c>
      <c r="F172" s="1238">
        <v>81</v>
      </c>
      <c r="G172" s="1251">
        <v>51.25</v>
      </c>
      <c r="H172" s="1251">
        <v>64.0625</v>
      </c>
      <c r="I172" s="1251">
        <v>4151.25</v>
      </c>
      <c r="J172" s="1251">
        <v>5189.0625</v>
      </c>
      <c r="K172" s="1232">
        <f t="shared" si="4"/>
        <v>6.8076843156642821E-4</v>
      </c>
      <c r="L172" s="1232">
        <f t="shared" si="5"/>
        <v>0.9394226567768692</v>
      </c>
      <c r="M172" s="1233" t="s">
        <v>2733</v>
      </c>
    </row>
    <row r="173" spans="1:15" ht="42.75">
      <c r="A173" s="1226">
        <v>7380</v>
      </c>
      <c r="B173" s="1227" t="s">
        <v>67</v>
      </c>
      <c r="C173" s="1227" t="s">
        <v>755</v>
      </c>
      <c r="D173" s="1228" t="s">
        <v>756</v>
      </c>
      <c r="E173" s="1226" t="s">
        <v>55</v>
      </c>
      <c r="F173" s="1229">
        <v>18</v>
      </c>
      <c r="G173" s="1230">
        <v>229.97</v>
      </c>
      <c r="H173" s="1231">
        <v>287.46249999999998</v>
      </c>
      <c r="I173" s="1231">
        <v>4139.46</v>
      </c>
      <c r="J173" s="1231">
        <v>5174.3249999999998</v>
      </c>
      <c r="K173" s="1232">
        <f t="shared" si="4"/>
        <v>6.7883497542474359E-4</v>
      </c>
      <c r="L173" s="1232">
        <f t="shared" si="5"/>
        <v>0.94010149175229396</v>
      </c>
      <c r="M173" s="1233" t="s">
        <v>2733</v>
      </c>
    </row>
    <row r="174" spans="1:15" ht="55.5" customHeight="1">
      <c r="A174" s="1226" t="s">
        <v>2422</v>
      </c>
      <c r="B174" s="1226"/>
      <c r="C174" s="1226" t="s">
        <v>296</v>
      </c>
      <c r="D174" s="1236" t="s">
        <v>2423</v>
      </c>
      <c r="E174" s="1237" t="s">
        <v>55</v>
      </c>
      <c r="F174" s="1238">
        <v>2</v>
      </c>
      <c r="G174" s="1269">
        <v>2027.2064999999998</v>
      </c>
      <c r="H174" s="1269">
        <v>2534.0081249999998</v>
      </c>
      <c r="I174" s="1230">
        <v>4054.4129999999996</v>
      </c>
      <c r="J174" s="1269">
        <v>5068.0162499999997</v>
      </c>
      <c r="K174" s="1232">
        <f t="shared" si="4"/>
        <v>6.6488801660524819E-4</v>
      </c>
      <c r="L174" s="1232">
        <f t="shared" si="5"/>
        <v>0.94076637976889921</v>
      </c>
      <c r="M174" s="1233" t="s">
        <v>2733</v>
      </c>
    </row>
    <row r="175" spans="1:15">
      <c r="A175" s="1226" t="s">
        <v>358</v>
      </c>
      <c r="B175" s="1227"/>
      <c r="C175" s="1227" t="s">
        <v>361</v>
      </c>
      <c r="D175" s="1236" t="s">
        <v>362</v>
      </c>
      <c r="E175" s="1237" t="s">
        <v>55</v>
      </c>
      <c r="F175" s="1238">
        <v>4</v>
      </c>
      <c r="G175" s="1247">
        <v>992.1</v>
      </c>
      <c r="H175" s="1230">
        <v>1240.125</v>
      </c>
      <c r="I175" s="1231">
        <v>3968.4</v>
      </c>
      <c r="J175" s="1231">
        <v>4960.5</v>
      </c>
      <c r="K175" s="1232">
        <f t="shared" si="4"/>
        <v>6.5078264229526377E-4</v>
      </c>
      <c r="L175" s="1232">
        <f t="shared" si="5"/>
        <v>0.94141716241119444</v>
      </c>
      <c r="M175" s="1233" t="s">
        <v>2733</v>
      </c>
    </row>
    <row r="176" spans="1:15" ht="28.5">
      <c r="A176" s="1226">
        <v>9384</v>
      </c>
      <c r="B176" s="1227" t="s">
        <v>67</v>
      </c>
      <c r="C176" s="1227" t="s">
        <v>1229</v>
      </c>
      <c r="D176" s="1228" t="s">
        <v>1230</v>
      </c>
      <c r="E176" s="1226" t="s">
        <v>246</v>
      </c>
      <c r="F176" s="1229">
        <v>180</v>
      </c>
      <c r="G176" s="1230">
        <v>20.99</v>
      </c>
      <c r="H176" s="1231">
        <v>26.237499999999997</v>
      </c>
      <c r="I176" s="1231">
        <v>3778.2</v>
      </c>
      <c r="J176" s="1231">
        <v>4722.7499999999991</v>
      </c>
      <c r="K176" s="1232">
        <f t="shared" si="4"/>
        <v>6.195915177703772E-4</v>
      </c>
      <c r="L176" s="1232">
        <f t="shared" si="5"/>
        <v>0.9420367539289648</v>
      </c>
      <c r="M176" s="1233" t="s">
        <v>2733</v>
      </c>
    </row>
    <row r="177" spans="1:14">
      <c r="A177" s="1226">
        <v>11088</v>
      </c>
      <c r="B177" s="1227" t="s">
        <v>67</v>
      </c>
      <c r="C177" s="1227" t="s">
        <v>345</v>
      </c>
      <c r="D177" s="1236" t="s">
        <v>346</v>
      </c>
      <c r="E177" s="1237" t="s">
        <v>246</v>
      </c>
      <c r="F177" s="1238">
        <v>121.4</v>
      </c>
      <c r="G177" s="1230">
        <v>31.03</v>
      </c>
      <c r="H177" s="1230">
        <v>38.787500000000001</v>
      </c>
      <c r="I177" s="1231">
        <v>3767.0420000000004</v>
      </c>
      <c r="J177" s="1231">
        <v>4708.8025000000007</v>
      </c>
      <c r="K177" s="1232">
        <f t="shared" si="4"/>
        <v>6.177617040613938E-4</v>
      </c>
      <c r="L177" s="1232">
        <f t="shared" si="5"/>
        <v>0.94265451563302616</v>
      </c>
      <c r="M177" s="1233" t="s">
        <v>2733</v>
      </c>
    </row>
    <row r="178" spans="1:14" ht="28.5">
      <c r="A178" s="1226">
        <v>3994</v>
      </c>
      <c r="B178" s="1227" t="s">
        <v>67</v>
      </c>
      <c r="C178" s="1227" t="s">
        <v>732</v>
      </c>
      <c r="D178" s="1228" t="s">
        <v>733</v>
      </c>
      <c r="E178" s="1226" t="s">
        <v>55</v>
      </c>
      <c r="F178" s="1229">
        <v>2</v>
      </c>
      <c r="G178" s="1230">
        <v>1809.86</v>
      </c>
      <c r="H178" s="1231">
        <v>2262.3249999999998</v>
      </c>
      <c r="I178" s="1231">
        <v>3619.72</v>
      </c>
      <c r="J178" s="1231">
        <v>4524.6499999999996</v>
      </c>
      <c r="K178" s="1232">
        <f t="shared" si="4"/>
        <v>5.936021938234583E-4</v>
      </c>
      <c r="L178" s="1232">
        <f t="shared" si="5"/>
        <v>0.94324811782684959</v>
      </c>
      <c r="M178" s="1233" t="s">
        <v>2733</v>
      </c>
    </row>
    <row r="179" spans="1:14" ht="25.9" customHeight="1">
      <c r="A179" s="1226">
        <v>91926</v>
      </c>
      <c r="B179" s="1227" t="s">
        <v>26</v>
      </c>
      <c r="C179" s="1226" t="s">
        <v>945</v>
      </c>
      <c r="D179" s="1228" t="s">
        <v>946</v>
      </c>
      <c r="E179" s="1226" t="s">
        <v>246</v>
      </c>
      <c r="F179" s="1229">
        <v>842.75999999999988</v>
      </c>
      <c r="G179" s="1230">
        <v>4.2699999999999996</v>
      </c>
      <c r="H179" s="1231">
        <v>5.3374999999999995</v>
      </c>
      <c r="I179" s="1231">
        <v>3598.5851999999991</v>
      </c>
      <c r="J179" s="1231">
        <v>4498.231499999999</v>
      </c>
      <c r="K179" s="1232">
        <f t="shared" si="4"/>
        <v>5.9013627280027955E-4</v>
      </c>
      <c r="L179" s="1232">
        <f t="shared" si="5"/>
        <v>0.94383825409964983</v>
      </c>
      <c r="M179" s="1233" t="s">
        <v>2733</v>
      </c>
    </row>
    <row r="180" spans="1:14" ht="28.5">
      <c r="A180" s="1226">
        <v>10268</v>
      </c>
      <c r="B180" s="1227" t="s">
        <v>67</v>
      </c>
      <c r="C180" s="1227" t="s">
        <v>1090</v>
      </c>
      <c r="D180" s="1228" t="s">
        <v>1091</v>
      </c>
      <c r="E180" s="1226" t="s">
        <v>55</v>
      </c>
      <c r="F180" s="1229">
        <v>100</v>
      </c>
      <c r="G180" s="1230">
        <v>35.82</v>
      </c>
      <c r="H180" s="1231">
        <v>44.774999999999999</v>
      </c>
      <c r="I180" s="1231">
        <v>3582</v>
      </c>
      <c r="J180" s="1231">
        <v>4477.5</v>
      </c>
      <c r="K180" s="1232">
        <f t="shared" si="4"/>
        <v>5.8741644609959552E-4</v>
      </c>
      <c r="L180" s="1232">
        <f t="shared" si="5"/>
        <v>0.94442567054574944</v>
      </c>
      <c r="M180" s="1233" t="s">
        <v>2733</v>
      </c>
    </row>
    <row r="181" spans="1:14" ht="28.5">
      <c r="A181" s="1226">
        <v>101916</v>
      </c>
      <c r="B181" s="1227" t="s">
        <v>26</v>
      </c>
      <c r="C181" s="1227" t="s">
        <v>672</v>
      </c>
      <c r="D181" s="1236" t="s">
        <v>673</v>
      </c>
      <c r="E181" s="1237" t="s">
        <v>55</v>
      </c>
      <c r="F181" s="1238">
        <v>1</v>
      </c>
      <c r="G181" s="1230">
        <v>3567.73</v>
      </c>
      <c r="H181" s="1231">
        <v>4459.6625000000004</v>
      </c>
      <c r="I181" s="1231">
        <v>3567.73</v>
      </c>
      <c r="J181" s="1231">
        <v>4459.6625000000004</v>
      </c>
      <c r="K181" s="1232">
        <f t="shared" si="4"/>
        <v>5.8507629180427412E-4</v>
      </c>
      <c r="L181" s="1232">
        <f t="shared" si="5"/>
        <v>0.94501074683755371</v>
      </c>
      <c r="M181" s="1233" t="s">
        <v>2733</v>
      </c>
    </row>
    <row r="182" spans="1:14" ht="42.75">
      <c r="A182" s="1239">
        <v>89857</v>
      </c>
      <c r="B182" s="1240" t="s">
        <v>26</v>
      </c>
      <c r="C182" s="1227" t="s">
        <v>568</v>
      </c>
      <c r="D182" s="1241" t="s">
        <v>569</v>
      </c>
      <c r="E182" s="1226" t="s">
        <v>96</v>
      </c>
      <c r="F182" s="1242">
        <v>94</v>
      </c>
      <c r="G182" s="1230">
        <v>37.85</v>
      </c>
      <c r="H182" s="1231">
        <v>47.3125</v>
      </c>
      <c r="I182" s="1231">
        <v>3557.9</v>
      </c>
      <c r="J182" s="1231">
        <v>4447.375</v>
      </c>
      <c r="K182" s="1232">
        <f t="shared" si="4"/>
        <v>5.8346425839691531E-4</v>
      </c>
      <c r="L182" s="1232">
        <f t="shared" si="5"/>
        <v>0.94559421109595065</v>
      </c>
      <c r="M182" s="1233" t="s">
        <v>2733</v>
      </c>
    </row>
    <row r="183" spans="1:14" ht="42.75">
      <c r="A183" s="1226">
        <v>12101</v>
      </c>
      <c r="B183" s="1227" t="s">
        <v>67</v>
      </c>
      <c r="C183" s="1226" t="s">
        <v>630</v>
      </c>
      <c r="D183" s="1236" t="s">
        <v>631</v>
      </c>
      <c r="E183" s="1237" t="s">
        <v>55</v>
      </c>
      <c r="F183" s="1238">
        <v>2</v>
      </c>
      <c r="G183" s="1230">
        <v>1760.78</v>
      </c>
      <c r="H183" s="1231">
        <v>2200.9749999999999</v>
      </c>
      <c r="I183" s="1231">
        <v>3521.56</v>
      </c>
      <c r="J183" s="1231">
        <v>4401.95</v>
      </c>
      <c r="K183" s="1232">
        <f t="shared" si="4"/>
        <v>5.7750481851660839E-4</v>
      </c>
      <c r="L183" s="1232">
        <f t="shared" si="5"/>
        <v>0.94617171591446725</v>
      </c>
      <c r="M183" s="1233" t="s">
        <v>2733</v>
      </c>
    </row>
    <row r="184" spans="1:14" ht="48.75" customHeight="1">
      <c r="A184" s="1226">
        <v>2799</v>
      </c>
      <c r="B184" s="1227" t="s">
        <v>67</v>
      </c>
      <c r="C184" s="1227" t="s">
        <v>856</v>
      </c>
      <c r="D184" s="1228" t="s">
        <v>857</v>
      </c>
      <c r="E184" s="1226" t="s">
        <v>55</v>
      </c>
      <c r="F184" s="1229">
        <v>6</v>
      </c>
      <c r="G184" s="1230">
        <v>586.66</v>
      </c>
      <c r="H184" s="1231">
        <v>733.32499999999993</v>
      </c>
      <c r="I184" s="1231">
        <v>3519.96</v>
      </c>
      <c r="J184" s="1231">
        <v>4399.95</v>
      </c>
      <c r="K184" s="1232">
        <f t="shared" si="4"/>
        <v>5.7724243261103624E-4</v>
      </c>
      <c r="L184" s="1232">
        <f t="shared" si="5"/>
        <v>0.94674895834707828</v>
      </c>
      <c r="M184" s="1233" t="s">
        <v>2733</v>
      </c>
    </row>
    <row r="185" spans="1:14" ht="20.45" customHeight="1">
      <c r="A185" s="1226" t="s">
        <v>2667</v>
      </c>
      <c r="B185" s="1226"/>
      <c r="C185" s="1226" t="s">
        <v>1362</v>
      </c>
      <c r="D185" s="1228" t="s">
        <v>1363</v>
      </c>
      <c r="E185" s="1268" t="s">
        <v>55</v>
      </c>
      <c r="F185" s="1242">
        <v>10</v>
      </c>
      <c r="G185" s="1229">
        <v>350</v>
      </c>
      <c r="H185" s="1229">
        <v>437.5</v>
      </c>
      <c r="I185" s="1229">
        <v>3500</v>
      </c>
      <c r="J185" s="1242">
        <v>4375</v>
      </c>
      <c r="K185" s="1232">
        <f t="shared" si="4"/>
        <v>5.7396916843902403E-4</v>
      </c>
      <c r="L185" s="1232">
        <f t="shared" si="5"/>
        <v>0.94732292751551728</v>
      </c>
      <c r="M185" s="1233" t="s">
        <v>2733</v>
      </c>
    </row>
    <row r="186" spans="1:14" ht="20.45" customHeight="1">
      <c r="A186" s="1226">
        <v>4629</v>
      </c>
      <c r="B186" s="1227" t="s">
        <v>67</v>
      </c>
      <c r="C186" s="1227" t="s">
        <v>1282</v>
      </c>
      <c r="D186" s="1228" t="s">
        <v>1283</v>
      </c>
      <c r="E186" s="1226" t="s">
        <v>246</v>
      </c>
      <c r="F186" s="1242">
        <v>15.400000000000002</v>
      </c>
      <c r="G186" s="1270">
        <v>222.54</v>
      </c>
      <c r="H186" s="1231">
        <v>278.17500000000001</v>
      </c>
      <c r="I186" s="1231">
        <v>3427.1160000000004</v>
      </c>
      <c r="J186" s="1231">
        <v>4283.8950000000004</v>
      </c>
      <c r="K186" s="1232">
        <f t="shared" si="4"/>
        <v>5.6201683447544993E-4</v>
      </c>
      <c r="L186" s="1232">
        <f t="shared" si="5"/>
        <v>0.94788494434999271</v>
      </c>
      <c r="M186" s="1233" t="s">
        <v>2733</v>
      </c>
    </row>
    <row r="187" spans="1:14" ht="42.75">
      <c r="A187" s="1226">
        <v>9716</v>
      </c>
      <c r="B187" s="1227" t="s">
        <v>67</v>
      </c>
      <c r="C187" s="1227" t="s">
        <v>343</v>
      </c>
      <c r="D187" s="1236" t="s">
        <v>344</v>
      </c>
      <c r="E187" s="1237" t="s">
        <v>246</v>
      </c>
      <c r="F187" s="1238">
        <v>170</v>
      </c>
      <c r="G187" s="1230">
        <v>19.25</v>
      </c>
      <c r="H187" s="1230">
        <v>24.0625</v>
      </c>
      <c r="I187" s="1231">
        <v>3272.5</v>
      </c>
      <c r="J187" s="1231">
        <v>4090.625</v>
      </c>
      <c r="K187" s="1232">
        <f t="shared" si="4"/>
        <v>5.3666117249048751E-4</v>
      </c>
      <c r="L187" s="1232">
        <f t="shared" si="5"/>
        <v>0.94842160552248322</v>
      </c>
      <c r="M187" s="1233" t="s">
        <v>2733</v>
      </c>
    </row>
    <row r="188" spans="1:14" ht="28.5">
      <c r="A188" s="1226">
        <v>7792</v>
      </c>
      <c r="B188" s="1227" t="s">
        <v>67</v>
      </c>
      <c r="C188" s="1227" t="s">
        <v>1112</v>
      </c>
      <c r="D188" s="1228" t="s">
        <v>1113</v>
      </c>
      <c r="E188" s="1226" t="s">
        <v>55</v>
      </c>
      <c r="F188" s="1229">
        <v>26</v>
      </c>
      <c r="G188" s="1230">
        <v>122.95</v>
      </c>
      <c r="H188" s="1231">
        <v>153.6875</v>
      </c>
      <c r="I188" s="1231">
        <v>3196.7000000000003</v>
      </c>
      <c r="J188" s="1231">
        <v>3995.875</v>
      </c>
      <c r="K188" s="1232">
        <f t="shared" si="4"/>
        <v>5.242306402140081E-4</v>
      </c>
      <c r="L188" s="1232">
        <f t="shared" si="5"/>
        <v>0.94894583616269723</v>
      </c>
      <c r="M188" s="1233" t="s">
        <v>2733</v>
      </c>
      <c r="N188" s="1255"/>
    </row>
    <row r="189" spans="1:14" ht="57">
      <c r="A189" s="1226">
        <v>92656</v>
      </c>
      <c r="B189" s="1227" t="s">
        <v>26</v>
      </c>
      <c r="C189" s="1227" t="s">
        <v>656</v>
      </c>
      <c r="D189" s="1236" t="s">
        <v>657</v>
      </c>
      <c r="E189" s="1237" t="s">
        <v>246</v>
      </c>
      <c r="F189" s="1238">
        <v>20</v>
      </c>
      <c r="G189" s="1230">
        <v>157.65</v>
      </c>
      <c r="H189" s="1231">
        <v>197.0625</v>
      </c>
      <c r="I189" s="1231">
        <v>3153</v>
      </c>
      <c r="J189" s="1231">
        <v>3941.25</v>
      </c>
      <c r="K189" s="1232">
        <f t="shared" si="4"/>
        <v>5.1706422516806943E-4</v>
      </c>
      <c r="L189" s="1232">
        <f t="shared" si="5"/>
        <v>0.94946290038786529</v>
      </c>
      <c r="M189" s="1233" t="s">
        <v>2733</v>
      </c>
    </row>
    <row r="190" spans="1:14" ht="28.5">
      <c r="A190" s="1226">
        <v>7285</v>
      </c>
      <c r="B190" s="1227" t="s">
        <v>67</v>
      </c>
      <c r="C190" s="1227" t="s">
        <v>391</v>
      </c>
      <c r="D190" s="1228" t="s">
        <v>392</v>
      </c>
      <c r="E190" s="1237" t="s">
        <v>246</v>
      </c>
      <c r="F190" s="1238">
        <v>25</v>
      </c>
      <c r="G190" s="1230">
        <v>123.69</v>
      </c>
      <c r="H190" s="1230">
        <v>154.61250000000001</v>
      </c>
      <c r="I190" s="1231">
        <v>3092.25</v>
      </c>
      <c r="J190" s="1231">
        <v>3865.3125000000005</v>
      </c>
      <c r="K190" s="1232">
        <f t="shared" si="4"/>
        <v>5.0710176031587778E-4</v>
      </c>
      <c r="L190" s="1232">
        <f t="shared" si="5"/>
        <v>0.94997000214818117</v>
      </c>
      <c r="M190" s="1233" t="s">
        <v>2733</v>
      </c>
    </row>
    <row r="191" spans="1:14" ht="28.5">
      <c r="A191" s="1271" t="s">
        <v>2583</v>
      </c>
      <c r="B191" s="1272"/>
      <c r="C191" s="1273" t="s">
        <v>1270</v>
      </c>
      <c r="D191" s="1274" t="s">
        <v>1271</v>
      </c>
      <c r="E191" s="1271" t="s">
        <v>55</v>
      </c>
      <c r="F191" s="1275">
        <v>12</v>
      </c>
      <c r="G191" s="1276">
        <v>250.75</v>
      </c>
      <c r="H191" s="1277">
        <v>313.4375</v>
      </c>
      <c r="I191" s="1277">
        <v>3009</v>
      </c>
      <c r="J191" s="1277">
        <v>3761.25</v>
      </c>
      <c r="K191" s="1278">
        <f t="shared" si="4"/>
        <v>4.9344949366657807E-4</v>
      </c>
      <c r="L191" s="1278">
        <f t="shared" si="5"/>
        <v>0.95046345164184776</v>
      </c>
      <c r="M191" s="1279" t="s">
        <v>2319</v>
      </c>
    </row>
    <row r="192" spans="1:14" ht="23.45" customHeight="1">
      <c r="A192" s="1271" t="s">
        <v>2447</v>
      </c>
      <c r="B192" s="1272"/>
      <c r="C192" s="1272" t="s">
        <v>317</v>
      </c>
      <c r="D192" s="1280" t="s">
        <v>2448</v>
      </c>
      <c r="E192" s="1281" t="s">
        <v>61</v>
      </c>
      <c r="F192" s="1282">
        <v>1.6800000000000002</v>
      </c>
      <c r="G192" s="1283">
        <v>1755.30548</v>
      </c>
      <c r="H192" s="1277">
        <v>2194.1318499999998</v>
      </c>
      <c r="I192" s="1277">
        <v>2948.9132064</v>
      </c>
      <c r="J192" s="1284">
        <v>3686.1415080000002</v>
      </c>
      <c r="K192" s="1278">
        <f t="shared" si="4"/>
        <v>4.8359578882178976E-4</v>
      </c>
      <c r="L192" s="1278">
        <f t="shared" si="5"/>
        <v>0.9509470474306696</v>
      </c>
      <c r="M192" s="1279" t="s">
        <v>2319</v>
      </c>
    </row>
    <row r="193" spans="1:14" ht="42.75">
      <c r="A193" s="1285">
        <v>3232</v>
      </c>
      <c r="B193" s="1286" t="s">
        <v>67</v>
      </c>
      <c r="C193" s="1272" t="s">
        <v>607</v>
      </c>
      <c r="D193" s="1287" t="s">
        <v>608</v>
      </c>
      <c r="E193" s="1281" t="s">
        <v>55</v>
      </c>
      <c r="F193" s="1288">
        <v>10</v>
      </c>
      <c r="G193" s="1289">
        <v>291.93</v>
      </c>
      <c r="H193" s="1290">
        <v>364.91250000000002</v>
      </c>
      <c r="I193" s="1277">
        <v>2919.3</v>
      </c>
      <c r="J193" s="1277">
        <v>3649.125</v>
      </c>
      <c r="K193" s="1278">
        <f t="shared" si="4"/>
        <v>4.7873948383544084E-4</v>
      </c>
      <c r="L193" s="1278">
        <f t="shared" si="5"/>
        <v>0.95142578691450508</v>
      </c>
      <c r="M193" s="1279" t="s">
        <v>2319</v>
      </c>
    </row>
    <row r="194" spans="1:14" ht="28.5">
      <c r="A194" s="1271">
        <v>13128</v>
      </c>
      <c r="B194" s="1272" t="s">
        <v>67</v>
      </c>
      <c r="C194" s="1272" t="s">
        <v>241</v>
      </c>
      <c r="D194" s="1274" t="s">
        <v>242</v>
      </c>
      <c r="E194" s="1271" t="s">
        <v>61</v>
      </c>
      <c r="F194" s="1275">
        <v>28.980000000000004</v>
      </c>
      <c r="G194" s="1283">
        <v>100</v>
      </c>
      <c r="H194" s="1283">
        <v>125</v>
      </c>
      <c r="I194" s="1277">
        <v>2898.0000000000005</v>
      </c>
      <c r="J194" s="1277">
        <v>3622.5000000000005</v>
      </c>
      <c r="K194" s="1278">
        <f t="shared" ref="K194:K257" si="6">J194/$N$1</f>
        <v>4.7524647146751197E-4</v>
      </c>
      <c r="L194" s="1278">
        <f t="shared" si="5"/>
        <v>0.95190103338597254</v>
      </c>
      <c r="M194" s="1279" t="s">
        <v>2319</v>
      </c>
    </row>
    <row r="195" spans="1:14" ht="42.75">
      <c r="A195" s="1271">
        <v>97649</v>
      </c>
      <c r="B195" s="1272" t="s">
        <v>26</v>
      </c>
      <c r="C195" s="1272" t="s">
        <v>103</v>
      </c>
      <c r="D195" s="1274" t="s">
        <v>104</v>
      </c>
      <c r="E195" s="1271" t="s">
        <v>61</v>
      </c>
      <c r="F195" s="1291">
        <v>778.53610000000003</v>
      </c>
      <c r="G195" s="1292">
        <v>3.68</v>
      </c>
      <c r="H195" s="1283">
        <v>4.6000000000000005</v>
      </c>
      <c r="I195" s="1277">
        <v>2865.0128480000003</v>
      </c>
      <c r="J195" s="1277">
        <v>3581.2660600000004</v>
      </c>
      <c r="K195" s="1278">
        <f t="shared" si="6"/>
        <v>4.6983686912390864E-4</v>
      </c>
      <c r="L195" s="1278">
        <f t="shared" si="5"/>
        <v>0.95237087025509648</v>
      </c>
      <c r="M195" s="1279" t="s">
        <v>2319</v>
      </c>
    </row>
    <row r="196" spans="1:14" ht="37.5" customHeight="1">
      <c r="A196" s="1271">
        <v>3981</v>
      </c>
      <c r="B196" s="1272" t="s">
        <v>67</v>
      </c>
      <c r="C196" s="1272" t="s">
        <v>715</v>
      </c>
      <c r="D196" s="1274" t="s">
        <v>716</v>
      </c>
      <c r="E196" s="1271" t="s">
        <v>55</v>
      </c>
      <c r="F196" s="1293">
        <v>1</v>
      </c>
      <c r="G196" s="1283">
        <v>2846</v>
      </c>
      <c r="H196" s="1277">
        <v>3557.5</v>
      </c>
      <c r="I196" s="1277">
        <v>2846</v>
      </c>
      <c r="J196" s="1277">
        <v>3557.5</v>
      </c>
      <c r="K196" s="1278">
        <f t="shared" si="6"/>
        <v>4.6671892953641786E-4</v>
      </c>
      <c r="L196" s="1278">
        <f t="shared" ref="L196:L259" si="7">K196+L195</f>
        <v>0.9528375891846329</v>
      </c>
      <c r="M196" s="1279" t="s">
        <v>2319</v>
      </c>
    </row>
    <row r="197" spans="1:14" ht="40.5" customHeight="1">
      <c r="A197" s="1271">
        <v>97113</v>
      </c>
      <c r="B197" s="1272" t="s">
        <v>26</v>
      </c>
      <c r="C197" s="1272" t="s">
        <v>377</v>
      </c>
      <c r="D197" s="1280" t="s">
        <v>378</v>
      </c>
      <c r="E197" s="1281" t="s">
        <v>61</v>
      </c>
      <c r="F197" s="1282">
        <v>898.47999999999979</v>
      </c>
      <c r="G197" s="1275">
        <v>3.14</v>
      </c>
      <c r="H197" s="1283">
        <v>3.9250000000000003</v>
      </c>
      <c r="I197" s="1277">
        <v>2821.2271999999994</v>
      </c>
      <c r="J197" s="1277">
        <v>3526.5339999999992</v>
      </c>
      <c r="K197" s="1278">
        <f t="shared" si="6"/>
        <v>4.6265640856044452E-4</v>
      </c>
      <c r="L197" s="1278">
        <f t="shared" si="7"/>
        <v>0.95330024559319337</v>
      </c>
      <c r="M197" s="1279" t="s">
        <v>2319</v>
      </c>
    </row>
    <row r="198" spans="1:14" ht="21" customHeight="1">
      <c r="A198" s="1271">
        <v>12141</v>
      </c>
      <c r="B198" s="1272" t="s">
        <v>67</v>
      </c>
      <c r="C198" s="1272" t="s">
        <v>692</v>
      </c>
      <c r="D198" s="1280" t="s">
        <v>693</v>
      </c>
      <c r="E198" s="1281" t="s">
        <v>246</v>
      </c>
      <c r="F198" s="1282">
        <v>110</v>
      </c>
      <c r="G198" s="1283">
        <v>25.52</v>
      </c>
      <c r="H198" s="1277">
        <v>31.9</v>
      </c>
      <c r="I198" s="1277">
        <v>2807.2</v>
      </c>
      <c r="J198" s="1277">
        <v>3509</v>
      </c>
      <c r="K198" s="1278">
        <f t="shared" si="6"/>
        <v>4.6035607132629381E-4</v>
      </c>
      <c r="L198" s="1278">
        <f t="shared" si="7"/>
        <v>0.9537606016645197</v>
      </c>
      <c r="M198" s="1279" t="s">
        <v>2319</v>
      </c>
    </row>
    <row r="199" spans="1:14" ht="28.5">
      <c r="A199" s="1271">
        <v>90441</v>
      </c>
      <c r="B199" s="1272" t="s">
        <v>26</v>
      </c>
      <c r="C199" s="1272" t="s">
        <v>1228</v>
      </c>
      <c r="D199" s="1274" t="s">
        <v>269</v>
      </c>
      <c r="E199" s="1271" t="s">
        <v>55</v>
      </c>
      <c r="F199" s="1293">
        <v>23</v>
      </c>
      <c r="G199" s="1283">
        <v>120.19</v>
      </c>
      <c r="H199" s="1277">
        <v>150.23750000000001</v>
      </c>
      <c r="I199" s="1277">
        <v>2764.37</v>
      </c>
      <c r="J199" s="1277">
        <v>3455.4625000000001</v>
      </c>
      <c r="K199" s="1278">
        <f t="shared" si="6"/>
        <v>4.5333232861651001E-4</v>
      </c>
      <c r="L199" s="1278">
        <f t="shared" si="7"/>
        <v>0.95421393399313625</v>
      </c>
      <c r="M199" s="1279" t="s">
        <v>2319</v>
      </c>
    </row>
    <row r="200" spans="1:14" ht="42.75">
      <c r="A200" s="1271">
        <v>11955</v>
      </c>
      <c r="B200" s="1272" t="s">
        <v>67</v>
      </c>
      <c r="C200" s="1271" t="s">
        <v>325</v>
      </c>
      <c r="D200" s="1280" t="s">
        <v>326</v>
      </c>
      <c r="E200" s="1281" t="s">
        <v>61</v>
      </c>
      <c r="F200" s="1282">
        <v>8.25</v>
      </c>
      <c r="G200" s="1283">
        <v>334.45</v>
      </c>
      <c r="H200" s="1277">
        <v>418.0625</v>
      </c>
      <c r="I200" s="1277">
        <v>2759.2125000000001</v>
      </c>
      <c r="J200" s="1284">
        <v>3449.015625</v>
      </c>
      <c r="K200" s="1278">
        <f t="shared" si="6"/>
        <v>4.5248654404901731E-4</v>
      </c>
      <c r="L200" s="1278">
        <f t="shared" si="7"/>
        <v>0.95466642053718531</v>
      </c>
      <c r="M200" s="1279" t="s">
        <v>2319</v>
      </c>
      <c r="N200" s="1189" t="str">
        <f>UPPER(N199)</f>
        <v/>
      </c>
    </row>
    <row r="201" spans="1:14" ht="42.75">
      <c r="A201" s="1285">
        <v>89849</v>
      </c>
      <c r="B201" s="1286" t="s">
        <v>26</v>
      </c>
      <c r="C201" s="1272" t="s">
        <v>589</v>
      </c>
      <c r="D201" s="1294" t="s">
        <v>590</v>
      </c>
      <c r="E201" s="1271" t="s">
        <v>246</v>
      </c>
      <c r="F201" s="1275">
        <v>48</v>
      </c>
      <c r="G201" s="1283">
        <v>57.37</v>
      </c>
      <c r="H201" s="1277">
        <v>71.712499999999991</v>
      </c>
      <c r="I201" s="1277">
        <v>2753.7599999999998</v>
      </c>
      <c r="J201" s="1277">
        <v>3442.2</v>
      </c>
      <c r="K201" s="1278">
        <f t="shared" si="6"/>
        <v>4.5159238208018477E-4</v>
      </c>
      <c r="L201" s="1278">
        <f t="shared" si="7"/>
        <v>0.95511801291926546</v>
      </c>
      <c r="M201" s="1279" t="s">
        <v>2319</v>
      </c>
    </row>
    <row r="202" spans="1:14" ht="42.75">
      <c r="A202" s="1271">
        <v>91854</v>
      </c>
      <c r="B202" s="1272" t="s">
        <v>26</v>
      </c>
      <c r="C202" s="1271" t="s">
        <v>943</v>
      </c>
      <c r="D202" s="1274" t="s">
        <v>944</v>
      </c>
      <c r="E202" s="1271" t="s">
        <v>246</v>
      </c>
      <c r="F202" s="1293">
        <v>185.7</v>
      </c>
      <c r="G202" s="1283">
        <v>14.6</v>
      </c>
      <c r="H202" s="1277">
        <v>18.25</v>
      </c>
      <c r="I202" s="1277">
        <v>2711.22</v>
      </c>
      <c r="J202" s="1277">
        <v>3389.0249999999996</v>
      </c>
      <c r="K202" s="1278">
        <f t="shared" si="6"/>
        <v>4.4461619681578589E-4</v>
      </c>
      <c r="L202" s="1278">
        <f t="shared" si="7"/>
        <v>0.95556262911608125</v>
      </c>
      <c r="M202" s="1279" t="s">
        <v>2319</v>
      </c>
    </row>
    <row r="203" spans="1:14" ht="42.75">
      <c r="A203" s="1271">
        <v>93009</v>
      </c>
      <c r="B203" s="1272" t="s">
        <v>26</v>
      </c>
      <c r="C203" s="1272" t="s">
        <v>892</v>
      </c>
      <c r="D203" s="1274" t="s">
        <v>893</v>
      </c>
      <c r="E203" s="1271" t="s">
        <v>246</v>
      </c>
      <c r="F203" s="1293">
        <v>103.02</v>
      </c>
      <c r="G203" s="1283">
        <v>25.91</v>
      </c>
      <c r="H203" s="1277">
        <v>32.387500000000003</v>
      </c>
      <c r="I203" s="1277">
        <v>2669.2482</v>
      </c>
      <c r="J203" s="1277">
        <v>3336.56025</v>
      </c>
      <c r="K203" s="1278">
        <f t="shared" si="6"/>
        <v>4.3773319134610334E-4</v>
      </c>
      <c r="L203" s="1278">
        <f t="shared" si="7"/>
        <v>0.95600036230742735</v>
      </c>
      <c r="M203" s="1279" t="s">
        <v>2319</v>
      </c>
    </row>
    <row r="204" spans="1:14" ht="28.5">
      <c r="A204" s="1271">
        <v>8297</v>
      </c>
      <c r="B204" s="1272" t="s">
        <v>67</v>
      </c>
      <c r="C204" s="1272" t="s">
        <v>711</v>
      </c>
      <c r="D204" s="1274" t="s">
        <v>712</v>
      </c>
      <c r="E204" s="1271" t="s">
        <v>170</v>
      </c>
      <c r="F204" s="1293">
        <v>25.543237250554327</v>
      </c>
      <c r="G204" s="1283">
        <v>103.41</v>
      </c>
      <c r="H204" s="1277">
        <v>129.26249999999999</v>
      </c>
      <c r="I204" s="1277">
        <v>2641.4261640798227</v>
      </c>
      <c r="J204" s="1277">
        <v>3301.7827050997785</v>
      </c>
      <c r="K204" s="1278">
        <f t="shared" si="6"/>
        <v>4.3317062253999343E-4</v>
      </c>
      <c r="L204" s="1278">
        <f t="shared" si="7"/>
        <v>0.95643353292996736</v>
      </c>
      <c r="M204" s="1279" t="s">
        <v>2319</v>
      </c>
    </row>
    <row r="205" spans="1:14" ht="28.5">
      <c r="A205" s="1271">
        <v>96548</v>
      </c>
      <c r="B205" s="1272" t="s">
        <v>26</v>
      </c>
      <c r="C205" s="1272" t="s">
        <v>179</v>
      </c>
      <c r="D205" s="1274" t="s">
        <v>180</v>
      </c>
      <c r="E205" s="1271" t="s">
        <v>170</v>
      </c>
      <c r="F205" s="1293">
        <v>220</v>
      </c>
      <c r="G205" s="1283">
        <v>11.77</v>
      </c>
      <c r="H205" s="1277">
        <v>14.712499999999999</v>
      </c>
      <c r="I205" s="1277">
        <v>2589.4</v>
      </c>
      <c r="J205" s="1277">
        <v>3236.7499999999995</v>
      </c>
      <c r="K205" s="1278">
        <f t="shared" si="6"/>
        <v>4.246387899302882E-4</v>
      </c>
      <c r="L205" s="1278">
        <f t="shared" si="7"/>
        <v>0.95685817171989762</v>
      </c>
      <c r="M205" s="1279" t="s">
        <v>2319</v>
      </c>
    </row>
    <row r="206" spans="1:14" ht="28.5">
      <c r="A206" s="1271">
        <v>9500</v>
      </c>
      <c r="B206" s="1272" t="s">
        <v>67</v>
      </c>
      <c r="C206" s="1272" t="s">
        <v>493</v>
      </c>
      <c r="D206" s="1294" t="s">
        <v>494</v>
      </c>
      <c r="E206" s="1271" t="s">
        <v>55</v>
      </c>
      <c r="F206" s="1275">
        <v>18</v>
      </c>
      <c r="G206" s="1283">
        <v>143.72999999999999</v>
      </c>
      <c r="H206" s="1277">
        <v>179.66249999999999</v>
      </c>
      <c r="I206" s="1277">
        <v>2587.14</v>
      </c>
      <c r="J206" s="1277">
        <v>3233.9249999999997</v>
      </c>
      <c r="K206" s="1278">
        <f t="shared" si="6"/>
        <v>4.242681698386676E-4</v>
      </c>
      <c r="L206" s="1278">
        <f t="shared" si="7"/>
        <v>0.95728243988973627</v>
      </c>
      <c r="M206" s="1279" t="s">
        <v>2319</v>
      </c>
    </row>
    <row r="207" spans="1:14" ht="28.5">
      <c r="A207" s="1271">
        <v>98528</v>
      </c>
      <c r="B207" s="1272" t="s">
        <v>26</v>
      </c>
      <c r="C207" s="1272" t="s">
        <v>97</v>
      </c>
      <c r="D207" s="1274" t="s">
        <v>98</v>
      </c>
      <c r="E207" s="1271" t="s">
        <v>96</v>
      </c>
      <c r="F207" s="1291">
        <v>12</v>
      </c>
      <c r="G207" s="1292">
        <v>211.11</v>
      </c>
      <c r="H207" s="1283">
        <v>263.88750000000005</v>
      </c>
      <c r="I207" s="1277">
        <v>2533.3200000000002</v>
      </c>
      <c r="J207" s="1277">
        <v>3166.6500000000005</v>
      </c>
      <c r="K207" s="1278">
        <f t="shared" si="6"/>
        <v>4.1544216393998531E-4</v>
      </c>
      <c r="L207" s="1278">
        <f t="shared" si="7"/>
        <v>0.95769788205367623</v>
      </c>
      <c r="M207" s="1279" t="s">
        <v>2319</v>
      </c>
    </row>
    <row r="208" spans="1:14" ht="34.5" customHeight="1">
      <c r="A208" s="1271">
        <v>2460</v>
      </c>
      <c r="B208" s="1272" t="s">
        <v>67</v>
      </c>
      <c r="C208" s="1271" t="s">
        <v>270</v>
      </c>
      <c r="D208" s="1274" t="s">
        <v>2724</v>
      </c>
      <c r="E208" s="1271" t="s">
        <v>246</v>
      </c>
      <c r="F208" s="1293">
        <v>58.800000000000004</v>
      </c>
      <c r="G208" s="1283">
        <v>43.08</v>
      </c>
      <c r="H208" s="1277">
        <v>53.849999999999994</v>
      </c>
      <c r="I208" s="1277">
        <v>2533.1040000000003</v>
      </c>
      <c r="J208" s="1277">
        <v>3166.38</v>
      </c>
      <c r="K208" s="1278">
        <f t="shared" si="6"/>
        <v>4.1540674184273302E-4</v>
      </c>
      <c r="L208" s="1278">
        <f t="shared" si="7"/>
        <v>0.95811328879551894</v>
      </c>
      <c r="M208" s="1279" t="s">
        <v>2319</v>
      </c>
    </row>
    <row r="209" spans="1:15">
      <c r="A209" s="1285">
        <v>353</v>
      </c>
      <c r="B209" s="1286" t="s">
        <v>67</v>
      </c>
      <c r="C209" s="1273" t="s">
        <v>1267</v>
      </c>
      <c r="D209" s="1294" t="s">
        <v>1268</v>
      </c>
      <c r="E209" s="1271" t="s">
        <v>246</v>
      </c>
      <c r="F209" s="1275">
        <v>200</v>
      </c>
      <c r="G209" s="1276">
        <v>12.64</v>
      </c>
      <c r="H209" s="1277">
        <v>15.8</v>
      </c>
      <c r="I209" s="1277">
        <v>2528</v>
      </c>
      <c r="J209" s="1277">
        <v>3160</v>
      </c>
      <c r="K209" s="1278">
        <f t="shared" si="6"/>
        <v>4.1456973080395792E-4</v>
      </c>
      <c r="L209" s="1278">
        <f t="shared" si="7"/>
        <v>0.95852785852632294</v>
      </c>
      <c r="M209" s="1279" t="s">
        <v>2319</v>
      </c>
    </row>
    <row r="210" spans="1:15" ht="42.75">
      <c r="A210" s="1271">
        <v>91837</v>
      </c>
      <c r="B210" s="1272" t="s">
        <v>26</v>
      </c>
      <c r="C210" s="1272" t="s">
        <v>1212</v>
      </c>
      <c r="D210" s="1274" t="s">
        <v>1213</v>
      </c>
      <c r="E210" s="1271" t="s">
        <v>246</v>
      </c>
      <c r="F210" s="1293">
        <v>156</v>
      </c>
      <c r="G210" s="1283">
        <v>16.170000000000002</v>
      </c>
      <c r="H210" s="1277">
        <v>20.212500000000002</v>
      </c>
      <c r="I210" s="1277">
        <v>2522.5200000000004</v>
      </c>
      <c r="J210" s="1277">
        <v>3153.1500000000005</v>
      </c>
      <c r="K210" s="1278">
        <f t="shared" si="6"/>
        <v>4.1367105907737348E-4</v>
      </c>
      <c r="L210" s="1278">
        <f t="shared" si="7"/>
        <v>0.95894152958540035</v>
      </c>
      <c r="M210" s="1279" t="s">
        <v>2319</v>
      </c>
    </row>
    <row r="211" spans="1:15" ht="45.75" customHeight="1">
      <c r="A211" s="1285">
        <v>89711</v>
      </c>
      <c r="B211" s="1286" t="s">
        <v>26</v>
      </c>
      <c r="C211" s="1272" t="s">
        <v>581</v>
      </c>
      <c r="D211" s="1294" t="s">
        <v>582</v>
      </c>
      <c r="E211" s="1271" t="s">
        <v>246</v>
      </c>
      <c r="F211" s="1275">
        <v>120</v>
      </c>
      <c r="G211" s="1283">
        <v>20.51</v>
      </c>
      <c r="H211" s="1277">
        <v>25.637500000000003</v>
      </c>
      <c r="I211" s="1277">
        <v>2461.2000000000003</v>
      </c>
      <c r="J211" s="1277">
        <v>3076.5000000000005</v>
      </c>
      <c r="K211" s="1278">
        <f t="shared" si="6"/>
        <v>4.0361511924632176E-4</v>
      </c>
      <c r="L211" s="1278">
        <f t="shared" si="7"/>
        <v>0.95934514470464671</v>
      </c>
      <c r="M211" s="1279" t="s">
        <v>2319</v>
      </c>
    </row>
    <row r="212" spans="1:15" ht="53.25" customHeight="1">
      <c r="A212" s="1271">
        <v>5029</v>
      </c>
      <c r="B212" s="1272" t="s">
        <v>67</v>
      </c>
      <c r="C212" s="1272" t="s">
        <v>94</v>
      </c>
      <c r="D212" s="1274" t="s">
        <v>95</v>
      </c>
      <c r="E212" s="1271" t="s">
        <v>96</v>
      </c>
      <c r="F212" s="1291">
        <v>12</v>
      </c>
      <c r="G212" s="1292">
        <v>204.7</v>
      </c>
      <c r="H212" s="1283">
        <v>255.875</v>
      </c>
      <c r="I212" s="1277">
        <v>2456.3999999999996</v>
      </c>
      <c r="J212" s="1277">
        <v>3070.5</v>
      </c>
      <c r="K212" s="1278">
        <f t="shared" si="6"/>
        <v>4.0282796152960536E-4</v>
      </c>
      <c r="L212" s="1278">
        <f t="shared" si="7"/>
        <v>0.95974797266617629</v>
      </c>
      <c r="M212" s="1279" t="s">
        <v>2319</v>
      </c>
    </row>
    <row r="213" spans="1:15" ht="44.25" customHeight="1">
      <c r="A213" s="1271" t="s">
        <v>2666</v>
      </c>
      <c r="B213" s="1271"/>
      <c r="C213" s="1271" t="s">
        <v>1360</v>
      </c>
      <c r="D213" s="1274" t="s">
        <v>1361</v>
      </c>
      <c r="E213" s="1295" t="s">
        <v>55</v>
      </c>
      <c r="F213" s="1275">
        <v>52</v>
      </c>
      <c r="G213" s="1293">
        <v>46.89</v>
      </c>
      <c r="H213" s="1293">
        <v>58.612499999999997</v>
      </c>
      <c r="I213" s="1293">
        <v>2438.2800000000002</v>
      </c>
      <c r="J213" s="1275">
        <v>3047.85</v>
      </c>
      <c r="K213" s="1278">
        <f t="shared" si="6"/>
        <v>3.9985644114900098E-4</v>
      </c>
      <c r="L213" s="1278">
        <f t="shared" si="7"/>
        <v>0.96014782910732532</v>
      </c>
      <c r="M213" s="1279" t="s">
        <v>2319</v>
      </c>
    </row>
    <row r="214" spans="1:15" ht="44.25" customHeight="1">
      <c r="A214" s="1296">
        <v>96995</v>
      </c>
      <c r="B214" s="1272" t="s">
        <v>26</v>
      </c>
      <c r="C214" s="1272" t="s">
        <v>139</v>
      </c>
      <c r="D214" s="1274" t="s">
        <v>140</v>
      </c>
      <c r="E214" s="1271" t="s">
        <v>109</v>
      </c>
      <c r="F214" s="1275">
        <v>55.245517499999998</v>
      </c>
      <c r="G214" s="1276">
        <v>43.99</v>
      </c>
      <c r="H214" s="1277">
        <v>54.987500000000004</v>
      </c>
      <c r="I214" s="1277">
        <v>2430.2503148250003</v>
      </c>
      <c r="J214" s="1277">
        <v>3037.8128935312502</v>
      </c>
      <c r="K214" s="1278">
        <f t="shared" si="6"/>
        <v>3.9853964351393767E-4</v>
      </c>
      <c r="L214" s="1278">
        <f t="shared" si="7"/>
        <v>0.96054636875083921</v>
      </c>
      <c r="M214" s="1279" t="s">
        <v>2319</v>
      </c>
      <c r="N214" s="1207"/>
      <c r="O214" s="1207"/>
    </row>
    <row r="215" spans="1:15" ht="66" customHeight="1">
      <c r="A215" s="1271">
        <v>89357</v>
      </c>
      <c r="B215" s="1272" t="s">
        <v>26</v>
      </c>
      <c r="C215" s="1272" t="s">
        <v>521</v>
      </c>
      <c r="D215" s="1294" t="s">
        <v>522</v>
      </c>
      <c r="E215" s="1271" t="s">
        <v>246</v>
      </c>
      <c r="F215" s="1275">
        <v>76.5</v>
      </c>
      <c r="G215" s="1283">
        <v>31.6</v>
      </c>
      <c r="H215" s="1277">
        <v>39.5</v>
      </c>
      <c r="I215" s="1277">
        <v>2417.4</v>
      </c>
      <c r="J215" s="1277">
        <v>3021.75</v>
      </c>
      <c r="K215" s="1278">
        <f t="shared" si="6"/>
        <v>3.9643230508128478E-4</v>
      </c>
      <c r="L215" s="1278">
        <f t="shared" si="7"/>
        <v>0.96094280105592045</v>
      </c>
      <c r="M215" s="1279" t="s">
        <v>2319</v>
      </c>
    </row>
    <row r="216" spans="1:15" ht="42" customHeight="1">
      <c r="A216" s="1271">
        <v>91840</v>
      </c>
      <c r="B216" s="1272" t="s">
        <v>26</v>
      </c>
      <c r="C216" s="1272" t="s">
        <v>1194</v>
      </c>
      <c r="D216" s="1274" t="s">
        <v>1195</v>
      </c>
      <c r="E216" s="1271" t="s">
        <v>246</v>
      </c>
      <c r="F216" s="1293">
        <v>180</v>
      </c>
      <c r="G216" s="1283">
        <v>13.39</v>
      </c>
      <c r="H216" s="1277">
        <v>16.737500000000001</v>
      </c>
      <c r="I216" s="1277">
        <v>2410.2000000000003</v>
      </c>
      <c r="J216" s="1277">
        <v>3012.75</v>
      </c>
      <c r="K216" s="1278">
        <f t="shared" si="6"/>
        <v>3.9525156850621021E-4</v>
      </c>
      <c r="L216" s="1278">
        <f t="shared" si="7"/>
        <v>0.96133805262442662</v>
      </c>
      <c r="M216" s="1279" t="s">
        <v>2319</v>
      </c>
    </row>
    <row r="217" spans="1:15" ht="45.75" customHeight="1">
      <c r="A217" s="1271" t="s">
        <v>722</v>
      </c>
      <c r="B217" s="1272" t="s">
        <v>67</v>
      </c>
      <c r="C217" s="1272" t="s">
        <v>969</v>
      </c>
      <c r="D217" s="1274" t="s">
        <v>724</v>
      </c>
      <c r="E217" s="1271" t="s">
        <v>55</v>
      </c>
      <c r="F217" s="1293">
        <v>14</v>
      </c>
      <c r="G217" s="1283">
        <v>169</v>
      </c>
      <c r="H217" s="1277">
        <v>211.25</v>
      </c>
      <c r="I217" s="1277">
        <v>2366</v>
      </c>
      <c r="J217" s="1277">
        <v>2957.5</v>
      </c>
      <c r="K217" s="1278">
        <f t="shared" si="6"/>
        <v>3.8800315786478027E-4</v>
      </c>
      <c r="L217" s="1278">
        <f t="shared" si="7"/>
        <v>0.96172605578229142</v>
      </c>
      <c r="M217" s="1279" t="s">
        <v>2319</v>
      </c>
    </row>
    <row r="218" spans="1:15" ht="45.75" customHeight="1">
      <c r="A218" s="1297">
        <v>4283</v>
      </c>
      <c r="B218" s="1298" t="s">
        <v>67</v>
      </c>
      <c r="C218" s="1299" t="s">
        <v>611</v>
      </c>
      <c r="D218" s="1287" t="s">
        <v>612</v>
      </c>
      <c r="E218" s="1281" t="s">
        <v>55</v>
      </c>
      <c r="F218" s="1288">
        <v>54</v>
      </c>
      <c r="G218" s="1289">
        <v>43.57</v>
      </c>
      <c r="H218" s="1290">
        <v>54.462499999999999</v>
      </c>
      <c r="I218" s="1277">
        <v>2352.7800000000002</v>
      </c>
      <c r="J218" s="1277">
        <v>2940.9749999999999</v>
      </c>
      <c r="K218" s="1278">
        <f t="shared" si="6"/>
        <v>3.8583519431999055E-4</v>
      </c>
      <c r="L218" s="1278">
        <f t="shared" si="7"/>
        <v>0.96211189097661143</v>
      </c>
      <c r="M218" s="1279" t="s">
        <v>2319</v>
      </c>
    </row>
    <row r="219" spans="1:15" ht="54" customHeight="1">
      <c r="A219" s="1271">
        <v>9673</v>
      </c>
      <c r="B219" s="1272" t="s">
        <v>67</v>
      </c>
      <c r="C219" s="1272" t="s">
        <v>846</v>
      </c>
      <c r="D219" s="1274" t="s">
        <v>847</v>
      </c>
      <c r="E219" s="1271" t="s">
        <v>55</v>
      </c>
      <c r="F219" s="1293">
        <v>166</v>
      </c>
      <c r="G219" s="1283">
        <v>13.75</v>
      </c>
      <c r="H219" s="1277">
        <v>17.1875</v>
      </c>
      <c r="I219" s="1277">
        <v>2282.5</v>
      </c>
      <c r="J219" s="1277">
        <v>2853.125</v>
      </c>
      <c r="K219" s="1278">
        <f t="shared" si="6"/>
        <v>3.74309893417735E-4</v>
      </c>
      <c r="L219" s="1278">
        <f t="shared" si="7"/>
        <v>0.96248620087002912</v>
      </c>
      <c r="M219" s="1279" t="s">
        <v>2319</v>
      </c>
    </row>
    <row r="220" spans="1:15" ht="42.75">
      <c r="A220" s="1271">
        <v>13275</v>
      </c>
      <c r="B220" s="1272" t="s">
        <v>67</v>
      </c>
      <c r="C220" s="1272" t="s">
        <v>1241</v>
      </c>
      <c r="D220" s="1274" t="s">
        <v>1242</v>
      </c>
      <c r="E220" s="1271" t="s">
        <v>55</v>
      </c>
      <c r="F220" s="1293">
        <v>5</v>
      </c>
      <c r="G220" s="1283">
        <v>446.31</v>
      </c>
      <c r="H220" s="1277">
        <v>557.88750000000005</v>
      </c>
      <c r="I220" s="1277">
        <v>2231.5500000000002</v>
      </c>
      <c r="J220" s="1277">
        <v>2789.4375</v>
      </c>
      <c r="K220" s="1278">
        <f t="shared" si="6"/>
        <v>3.6595454223717263E-4</v>
      </c>
      <c r="L220" s="1278">
        <f t="shared" si="7"/>
        <v>0.96285215541226632</v>
      </c>
      <c r="M220" s="1279" t="s">
        <v>2319</v>
      </c>
    </row>
    <row r="221" spans="1:15" ht="28.9" customHeight="1">
      <c r="A221" s="1271">
        <v>93184</v>
      </c>
      <c r="B221" s="1272" t="s">
        <v>26</v>
      </c>
      <c r="C221" s="1272" t="s">
        <v>244</v>
      </c>
      <c r="D221" s="1274" t="s">
        <v>245</v>
      </c>
      <c r="E221" s="1271" t="s">
        <v>246</v>
      </c>
      <c r="F221" s="1293">
        <v>68.44</v>
      </c>
      <c r="G221" s="1283">
        <v>32.26</v>
      </c>
      <c r="H221" s="1283">
        <v>40.324999999999996</v>
      </c>
      <c r="I221" s="1277">
        <v>2207.8743999999997</v>
      </c>
      <c r="J221" s="1277">
        <v>2759.8429999999994</v>
      </c>
      <c r="K221" s="1278">
        <f t="shared" si="6"/>
        <v>3.6207195239594542E-4</v>
      </c>
      <c r="L221" s="1278">
        <f t="shared" si="7"/>
        <v>0.96321422736466222</v>
      </c>
      <c r="M221" s="1279" t="s">
        <v>2319</v>
      </c>
    </row>
    <row r="222" spans="1:15" ht="33.75" customHeight="1">
      <c r="A222" s="1271">
        <v>1939</v>
      </c>
      <c r="B222" s="1272" t="s">
        <v>67</v>
      </c>
      <c r="C222" s="1272" t="s">
        <v>1290</v>
      </c>
      <c r="D222" s="1274" t="s">
        <v>1291</v>
      </c>
      <c r="E222" s="1281" t="s">
        <v>61</v>
      </c>
      <c r="F222" s="1282">
        <v>9.2025000000000006</v>
      </c>
      <c r="G222" s="1300">
        <v>236.18</v>
      </c>
      <c r="H222" s="1277">
        <v>295.22500000000002</v>
      </c>
      <c r="I222" s="1277">
        <v>2173.4464500000004</v>
      </c>
      <c r="J222" s="1277">
        <v>2716.8080625000002</v>
      </c>
      <c r="K222" s="1278">
        <f t="shared" si="6"/>
        <v>3.5642607187235683E-4</v>
      </c>
      <c r="L222" s="1278">
        <f t="shared" si="7"/>
        <v>0.96357065343653459</v>
      </c>
      <c r="M222" s="1279" t="s">
        <v>2319</v>
      </c>
      <c r="N222" s="1206"/>
      <c r="O222" s="1206"/>
    </row>
    <row r="223" spans="1:15" ht="28.5">
      <c r="A223" s="1271">
        <v>13159</v>
      </c>
      <c r="B223" s="1272" t="s">
        <v>67</v>
      </c>
      <c r="C223" s="1272" t="s">
        <v>1071</v>
      </c>
      <c r="D223" s="1274" t="s">
        <v>1072</v>
      </c>
      <c r="E223" s="1271" t="s">
        <v>55</v>
      </c>
      <c r="F223" s="1293">
        <v>20</v>
      </c>
      <c r="G223" s="1283">
        <v>108.59</v>
      </c>
      <c r="H223" s="1277">
        <v>135.73750000000001</v>
      </c>
      <c r="I223" s="1277">
        <v>2171.8000000000002</v>
      </c>
      <c r="J223" s="1277">
        <v>2714.75</v>
      </c>
      <c r="K223" s="1278">
        <f t="shared" si="6"/>
        <v>3.5615606857596353E-4</v>
      </c>
      <c r="L223" s="1278">
        <f t="shared" si="7"/>
        <v>0.96392680950511056</v>
      </c>
      <c r="M223" s="1279" t="s">
        <v>2319</v>
      </c>
    </row>
    <row r="224" spans="1:15" ht="37.5" customHeight="1">
      <c r="A224" s="1271">
        <v>7369</v>
      </c>
      <c r="B224" s="1272" t="s">
        <v>67</v>
      </c>
      <c r="C224" s="1272" t="s">
        <v>2721</v>
      </c>
      <c r="D224" s="1280" t="s">
        <v>2720</v>
      </c>
      <c r="E224" s="1271" t="s">
        <v>109</v>
      </c>
      <c r="F224" s="1293">
        <v>0.87750000000000006</v>
      </c>
      <c r="G224" s="1283">
        <v>2470.41</v>
      </c>
      <c r="H224" s="1283">
        <v>3088.0124999999998</v>
      </c>
      <c r="I224" s="1277">
        <v>2167.7847750000001</v>
      </c>
      <c r="J224" s="1277">
        <v>2709.7309687500001</v>
      </c>
      <c r="K224" s="1278">
        <f t="shared" si="6"/>
        <v>3.5549760704615057E-4</v>
      </c>
      <c r="L224" s="1278">
        <f t="shared" si="7"/>
        <v>0.96428230711215668</v>
      </c>
      <c r="M224" s="1279" t="s">
        <v>2319</v>
      </c>
    </row>
    <row r="225" spans="1:13" ht="57.75" customHeight="1">
      <c r="A225" s="1271">
        <v>10268</v>
      </c>
      <c r="B225" s="1272" t="s">
        <v>67</v>
      </c>
      <c r="C225" s="1272" t="s">
        <v>1177</v>
      </c>
      <c r="D225" s="1274" t="s">
        <v>1178</v>
      </c>
      <c r="E225" s="1271" t="s">
        <v>55</v>
      </c>
      <c r="F225" s="1293">
        <v>60</v>
      </c>
      <c r="G225" s="1283">
        <v>35.82</v>
      </c>
      <c r="H225" s="1277">
        <v>44.774999999999999</v>
      </c>
      <c r="I225" s="1277">
        <v>2149.1999999999998</v>
      </c>
      <c r="J225" s="1277">
        <v>2686.5</v>
      </c>
      <c r="K225" s="1278">
        <f t="shared" si="6"/>
        <v>3.5244986765975726E-4</v>
      </c>
      <c r="L225" s="1278">
        <f t="shared" si="7"/>
        <v>0.96463475697981649</v>
      </c>
      <c r="M225" s="1279" t="s">
        <v>2319</v>
      </c>
    </row>
    <row r="226" spans="1:13" ht="42.75">
      <c r="A226" s="1271" t="s">
        <v>2333</v>
      </c>
      <c r="B226" s="1272"/>
      <c r="C226" s="1271" t="s">
        <v>632</v>
      </c>
      <c r="D226" s="1280" t="s">
        <v>633</v>
      </c>
      <c r="E226" s="1281" t="s">
        <v>55</v>
      </c>
      <c r="F226" s="1282">
        <v>2</v>
      </c>
      <c r="G226" s="1283">
        <v>1071.0359999999998</v>
      </c>
      <c r="H226" s="1277">
        <v>1338.7949999999998</v>
      </c>
      <c r="I226" s="1277">
        <v>2142.0719999999997</v>
      </c>
      <c r="J226" s="1277">
        <v>2677.5899999999997</v>
      </c>
      <c r="K226" s="1278">
        <f t="shared" si="6"/>
        <v>3.5128093845043345E-4</v>
      </c>
      <c r="L226" s="1278">
        <f t="shared" si="7"/>
        <v>0.96498603791826687</v>
      </c>
      <c r="M226" s="1279" t="s">
        <v>2319</v>
      </c>
    </row>
    <row r="227" spans="1:13" ht="45.75" customHeight="1">
      <c r="A227" s="1296">
        <v>4942</v>
      </c>
      <c r="B227" s="1296" t="s">
        <v>67</v>
      </c>
      <c r="C227" s="1272" t="s">
        <v>129</v>
      </c>
      <c r="D227" s="1274" t="s">
        <v>130</v>
      </c>
      <c r="E227" s="1271" t="s">
        <v>61</v>
      </c>
      <c r="F227" s="1291">
        <v>111.31199999999998</v>
      </c>
      <c r="G227" s="1292">
        <v>19.170000000000002</v>
      </c>
      <c r="H227" s="1283">
        <v>23.962500000000002</v>
      </c>
      <c r="I227" s="1277">
        <v>2133.85104</v>
      </c>
      <c r="J227" s="1277">
        <v>2667.3137999999999</v>
      </c>
      <c r="K227" s="1278">
        <f t="shared" si="6"/>
        <v>3.4993277342901334E-4</v>
      </c>
      <c r="L227" s="1278">
        <f t="shared" si="7"/>
        <v>0.96533597069169585</v>
      </c>
      <c r="M227" s="1279" t="s">
        <v>2319</v>
      </c>
    </row>
    <row r="228" spans="1:13" ht="42.75">
      <c r="A228" s="1271">
        <v>8106</v>
      </c>
      <c r="B228" s="1272" t="s">
        <v>67</v>
      </c>
      <c r="C228" s="1272" t="s">
        <v>297</v>
      </c>
      <c r="D228" s="1280" t="s">
        <v>298</v>
      </c>
      <c r="E228" s="1281" t="s">
        <v>55</v>
      </c>
      <c r="F228" s="1282">
        <v>1</v>
      </c>
      <c r="G228" s="1283">
        <v>2009.69</v>
      </c>
      <c r="H228" s="1284">
        <v>2512.1125000000002</v>
      </c>
      <c r="I228" s="1277">
        <v>2009.69</v>
      </c>
      <c r="J228" s="1284">
        <v>2512.1125000000002</v>
      </c>
      <c r="K228" s="1278">
        <f t="shared" si="6"/>
        <v>3.2957145660577778E-4</v>
      </c>
      <c r="L228" s="1278">
        <f t="shared" si="7"/>
        <v>0.96566554214830158</v>
      </c>
      <c r="M228" s="1279" t="s">
        <v>2319</v>
      </c>
    </row>
    <row r="229" spans="1:13" ht="30" customHeight="1">
      <c r="A229" s="1271">
        <v>354</v>
      </c>
      <c r="B229" s="1272" t="s">
        <v>67</v>
      </c>
      <c r="C229" s="1272" t="s">
        <v>904</v>
      </c>
      <c r="D229" s="1274" t="s">
        <v>905</v>
      </c>
      <c r="E229" s="1271" t="s">
        <v>246</v>
      </c>
      <c r="F229" s="1293">
        <v>123.858</v>
      </c>
      <c r="G229" s="1283">
        <v>16.22</v>
      </c>
      <c r="H229" s="1277">
        <v>20.274999999999999</v>
      </c>
      <c r="I229" s="1277">
        <v>2008.97676</v>
      </c>
      <c r="J229" s="1277">
        <v>2511.2209499999999</v>
      </c>
      <c r="K229" s="1278">
        <f t="shared" si="6"/>
        <v>3.2945449152872134E-4</v>
      </c>
      <c r="L229" s="1278">
        <f t="shared" si="7"/>
        <v>0.96599499663983035</v>
      </c>
      <c r="M229" s="1279" t="s">
        <v>2319</v>
      </c>
    </row>
    <row r="230" spans="1:13" ht="44.25">
      <c r="A230" s="1271">
        <v>92004</v>
      </c>
      <c r="B230" s="1272" t="s">
        <v>26</v>
      </c>
      <c r="C230" s="1271" t="s">
        <v>930</v>
      </c>
      <c r="D230" s="1274" t="s">
        <v>931</v>
      </c>
      <c r="E230" s="1271" t="s">
        <v>55</v>
      </c>
      <c r="F230" s="1293">
        <v>38</v>
      </c>
      <c r="G230" s="1283">
        <v>52.81</v>
      </c>
      <c r="H230" s="1277">
        <v>66.012500000000003</v>
      </c>
      <c r="I230" s="1277">
        <v>2006.7800000000002</v>
      </c>
      <c r="J230" s="1277">
        <v>2508.4749999999999</v>
      </c>
      <c r="K230" s="1278">
        <f t="shared" si="6"/>
        <v>3.2909424224001845E-4</v>
      </c>
      <c r="L230" s="1278">
        <f t="shared" si="7"/>
        <v>0.96632409088207039</v>
      </c>
      <c r="M230" s="1279" t="s">
        <v>2319</v>
      </c>
    </row>
    <row r="231" spans="1:13" ht="28.5">
      <c r="A231" s="1271">
        <v>706</v>
      </c>
      <c r="B231" s="1272" t="s">
        <v>67</v>
      </c>
      <c r="C231" s="1272" t="s">
        <v>1094</v>
      </c>
      <c r="D231" s="1274" t="s">
        <v>1095</v>
      </c>
      <c r="E231" s="1271" t="s">
        <v>246</v>
      </c>
      <c r="F231" s="1293">
        <v>7</v>
      </c>
      <c r="G231" s="1283">
        <v>286.04000000000002</v>
      </c>
      <c r="H231" s="1277">
        <v>357.55</v>
      </c>
      <c r="I231" s="1277">
        <v>2002.2800000000002</v>
      </c>
      <c r="J231" s="1277">
        <v>2502.85</v>
      </c>
      <c r="K231" s="1278">
        <f t="shared" si="6"/>
        <v>3.2835628188059685E-4</v>
      </c>
      <c r="L231" s="1278">
        <f t="shared" si="7"/>
        <v>0.96665244716395093</v>
      </c>
      <c r="M231" s="1279" t="s">
        <v>2319</v>
      </c>
    </row>
    <row r="232" spans="1:13" ht="28.5">
      <c r="A232" s="1271">
        <v>1033</v>
      </c>
      <c r="B232" s="1272" t="s">
        <v>67</v>
      </c>
      <c r="C232" s="1299" t="s">
        <v>529</v>
      </c>
      <c r="D232" s="1294" t="s">
        <v>530</v>
      </c>
      <c r="E232" s="1271" t="s">
        <v>246</v>
      </c>
      <c r="F232" s="1275">
        <v>22.98</v>
      </c>
      <c r="G232" s="1283">
        <v>86.75</v>
      </c>
      <c r="H232" s="1277">
        <v>108.4375</v>
      </c>
      <c r="I232" s="1277">
        <v>1993.5150000000001</v>
      </c>
      <c r="J232" s="1277">
        <v>2491.8937500000002</v>
      </c>
      <c r="K232" s="1278">
        <f t="shared" si="6"/>
        <v>3.2691889909163463E-4</v>
      </c>
      <c r="L232" s="1278">
        <f t="shared" si="7"/>
        <v>0.96697936606304258</v>
      </c>
      <c r="M232" s="1279" t="s">
        <v>2319</v>
      </c>
    </row>
    <row r="233" spans="1:13" ht="28.5">
      <c r="A233" s="1271">
        <v>9173</v>
      </c>
      <c r="B233" s="1272" t="s">
        <v>67</v>
      </c>
      <c r="C233" s="1271" t="s">
        <v>643</v>
      </c>
      <c r="D233" s="1280" t="s">
        <v>2727</v>
      </c>
      <c r="E233" s="1281" t="s">
        <v>96</v>
      </c>
      <c r="F233" s="1282">
        <v>8</v>
      </c>
      <c r="G233" s="1283">
        <v>243.94</v>
      </c>
      <c r="H233" s="1277">
        <v>304.92500000000001</v>
      </c>
      <c r="I233" s="1277">
        <v>1951.52</v>
      </c>
      <c r="J233" s="1277">
        <v>2439.4</v>
      </c>
      <c r="K233" s="1278">
        <f t="shared" si="6"/>
        <v>3.2003208902632124E-4</v>
      </c>
      <c r="L233" s="1278">
        <f t="shared" si="7"/>
        <v>0.96729939815206889</v>
      </c>
      <c r="M233" s="1279" t="s">
        <v>2319</v>
      </c>
    </row>
    <row r="234" spans="1:13" ht="28.5">
      <c r="A234" s="1271">
        <v>8075</v>
      </c>
      <c r="B234" s="1272" t="s">
        <v>67</v>
      </c>
      <c r="C234" s="1272" t="s">
        <v>1220</v>
      </c>
      <c r="D234" s="1274" t="s">
        <v>1221</v>
      </c>
      <c r="E234" s="1271" t="s">
        <v>55</v>
      </c>
      <c r="F234" s="1293">
        <v>15</v>
      </c>
      <c r="G234" s="1283">
        <v>129.16999999999999</v>
      </c>
      <c r="H234" s="1277">
        <v>161.46249999999998</v>
      </c>
      <c r="I234" s="1277">
        <v>1937.5499999999997</v>
      </c>
      <c r="J234" s="1277">
        <v>2421.9374999999995</v>
      </c>
      <c r="K234" s="1278">
        <f t="shared" si="6"/>
        <v>3.1774113208829453E-4</v>
      </c>
      <c r="L234" s="1278">
        <f t="shared" si="7"/>
        <v>0.96761713928415716</v>
      </c>
      <c r="M234" s="1279" t="s">
        <v>2319</v>
      </c>
    </row>
    <row r="235" spans="1:13" ht="28.5">
      <c r="A235" s="1271">
        <v>97607</v>
      </c>
      <c r="B235" s="1272" t="s">
        <v>26</v>
      </c>
      <c r="C235" s="1272" t="s">
        <v>1069</v>
      </c>
      <c r="D235" s="1274" t="s">
        <v>1070</v>
      </c>
      <c r="E235" s="1271" t="s">
        <v>55</v>
      </c>
      <c r="F235" s="1293">
        <v>18</v>
      </c>
      <c r="G235" s="1283">
        <v>105</v>
      </c>
      <c r="H235" s="1277">
        <v>131.25</v>
      </c>
      <c r="I235" s="1277">
        <v>1890</v>
      </c>
      <c r="J235" s="1277">
        <v>2362.5</v>
      </c>
      <c r="K235" s="1278">
        <f t="shared" si="6"/>
        <v>3.09943350957073E-4</v>
      </c>
      <c r="L235" s="1278">
        <f t="shared" si="7"/>
        <v>0.96792708263511418</v>
      </c>
      <c r="M235" s="1279" t="s">
        <v>2319</v>
      </c>
    </row>
    <row r="236" spans="1:13" ht="57">
      <c r="A236" s="1285">
        <v>89744</v>
      </c>
      <c r="B236" s="1286" t="s">
        <v>26</v>
      </c>
      <c r="C236" s="1272" t="s">
        <v>552</v>
      </c>
      <c r="D236" s="1294" t="s">
        <v>553</v>
      </c>
      <c r="E236" s="1271" t="s">
        <v>96</v>
      </c>
      <c r="F236" s="1275">
        <v>68</v>
      </c>
      <c r="G236" s="1283">
        <v>27.53</v>
      </c>
      <c r="H236" s="1277">
        <v>34.412500000000001</v>
      </c>
      <c r="I236" s="1277">
        <v>1872.04</v>
      </c>
      <c r="J236" s="1277">
        <v>2340.0500000000002</v>
      </c>
      <c r="K236" s="1278">
        <f t="shared" si="6"/>
        <v>3.069980691670259E-4</v>
      </c>
      <c r="L236" s="1278">
        <f t="shared" si="7"/>
        <v>0.96823408070428119</v>
      </c>
      <c r="M236" s="1279" t="s">
        <v>2319</v>
      </c>
    </row>
    <row r="237" spans="1:13">
      <c r="A237" s="1271">
        <v>3243</v>
      </c>
      <c r="B237" s="1272" t="s">
        <v>67</v>
      </c>
      <c r="C237" s="1272" t="s">
        <v>734</v>
      </c>
      <c r="D237" s="1274" t="s">
        <v>735</v>
      </c>
      <c r="E237" s="1271" t="s">
        <v>55</v>
      </c>
      <c r="F237" s="1293">
        <v>3</v>
      </c>
      <c r="G237" s="1283">
        <v>618.17999999999995</v>
      </c>
      <c r="H237" s="1277">
        <v>772.72499999999991</v>
      </c>
      <c r="I237" s="1277">
        <v>1854.54</v>
      </c>
      <c r="J237" s="1277">
        <v>2318.1749999999997</v>
      </c>
      <c r="K237" s="1278">
        <f t="shared" si="6"/>
        <v>3.0412822332483071E-4</v>
      </c>
      <c r="L237" s="1278">
        <f t="shared" si="7"/>
        <v>0.968538208927606</v>
      </c>
      <c r="M237" s="1279" t="s">
        <v>2319</v>
      </c>
    </row>
    <row r="238" spans="1:13" ht="32.25" customHeight="1">
      <c r="A238" s="1271">
        <v>99633</v>
      </c>
      <c r="B238" s="1272" t="s">
        <v>26</v>
      </c>
      <c r="C238" s="1272" t="s">
        <v>660</v>
      </c>
      <c r="D238" s="1280" t="s">
        <v>661</v>
      </c>
      <c r="E238" s="1281" t="s">
        <v>55</v>
      </c>
      <c r="F238" s="1282">
        <v>4</v>
      </c>
      <c r="G238" s="1283">
        <v>462.03</v>
      </c>
      <c r="H238" s="1277">
        <v>577.53749999999991</v>
      </c>
      <c r="I238" s="1277">
        <v>1848.12</v>
      </c>
      <c r="J238" s="1277">
        <v>2310.1499999999996</v>
      </c>
      <c r="K238" s="1278">
        <f t="shared" si="6"/>
        <v>3.0307539987872256E-4</v>
      </c>
      <c r="L238" s="1278">
        <f t="shared" si="7"/>
        <v>0.96884128432748473</v>
      </c>
      <c r="M238" s="1279" t="s">
        <v>2319</v>
      </c>
    </row>
    <row r="239" spans="1:13">
      <c r="A239" s="1271">
        <v>2942</v>
      </c>
      <c r="B239" s="1272" t="s">
        <v>67</v>
      </c>
      <c r="C239" s="1272" t="s">
        <v>730</v>
      </c>
      <c r="D239" s="1274" t="s">
        <v>731</v>
      </c>
      <c r="E239" s="1271" t="s">
        <v>55</v>
      </c>
      <c r="F239" s="1293">
        <v>1</v>
      </c>
      <c r="G239" s="1283">
        <v>1830</v>
      </c>
      <c r="H239" s="1277">
        <v>2287.5</v>
      </c>
      <c r="I239" s="1277">
        <v>1830</v>
      </c>
      <c r="J239" s="1277">
        <v>2287.5</v>
      </c>
      <c r="K239" s="1278">
        <f t="shared" si="6"/>
        <v>3.0010387949811829E-4</v>
      </c>
      <c r="L239" s="1278">
        <f t="shared" si="7"/>
        <v>0.96914138820698281</v>
      </c>
      <c r="M239" s="1279" t="s">
        <v>2319</v>
      </c>
    </row>
    <row r="240" spans="1:13" ht="48" customHeight="1">
      <c r="A240" s="1271">
        <v>469</v>
      </c>
      <c r="B240" s="1272" t="s">
        <v>67</v>
      </c>
      <c r="C240" s="1272" t="s">
        <v>738</v>
      </c>
      <c r="D240" s="1274" t="s">
        <v>739</v>
      </c>
      <c r="E240" s="1271" t="s">
        <v>55</v>
      </c>
      <c r="F240" s="1293">
        <v>3</v>
      </c>
      <c r="G240" s="1283">
        <v>608.01</v>
      </c>
      <c r="H240" s="1277">
        <v>760.01250000000005</v>
      </c>
      <c r="I240" s="1277">
        <v>1824.03</v>
      </c>
      <c r="J240" s="1277">
        <v>2280.0375000000004</v>
      </c>
      <c r="K240" s="1278">
        <f t="shared" si="6"/>
        <v>2.9912485208795234E-4</v>
      </c>
      <c r="L240" s="1278">
        <f t="shared" si="7"/>
        <v>0.96944051305907075</v>
      </c>
      <c r="M240" s="1279" t="s">
        <v>2319</v>
      </c>
    </row>
    <row r="241" spans="1:15" ht="28.15" customHeight="1">
      <c r="A241" s="1271" t="s">
        <v>1173</v>
      </c>
      <c r="B241" s="1272" t="s">
        <v>67</v>
      </c>
      <c r="C241" s="1272" t="s">
        <v>1174</v>
      </c>
      <c r="D241" s="1280" t="s">
        <v>1175</v>
      </c>
      <c r="E241" s="1271" t="s">
        <v>40</v>
      </c>
      <c r="F241" s="1293">
        <v>160</v>
      </c>
      <c r="G241" s="1283">
        <v>11.36</v>
      </c>
      <c r="H241" s="1277">
        <v>14.2</v>
      </c>
      <c r="I241" s="1277">
        <v>1817.6</v>
      </c>
      <c r="J241" s="1277">
        <v>2272</v>
      </c>
      <c r="K241" s="1278">
        <f t="shared" si="6"/>
        <v>2.9807038872993431E-4</v>
      </c>
      <c r="L241" s="1278">
        <f t="shared" si="7"/>
        <v>0.96973858344780073</v>
      </c>
      <c r="M241" s="1279" t="s">
        <v>2319</v>
      </c>
    </row>
    <row r="242" spans="1:15" ht="34.15" customHeight="1">
      <c r="A242" s="1271">
        <v>12517</v>
      </c>
      <c r="B242" s="1272" t="s">
        <v>67</v>
      </c>
      <c r="C242" s="1271" t="s">
        <v>1315</v>
      </c>
      <c r="D242" s="1274" t="s">
        <v>1316</v>
      </c>
      <c r="E242" s="1281" t="s">
        <v>246</v>
      </c>
      <c r="F242" s="1282">
        <v>50.199999999999996</v>
      </c>
      <c r="G242" s="1300">
        <v>36</v>
      </c>
      <c r="H242" s="1277">
        <v>45</v>
      </c>
      <c r="I242" s="1277">
        <v>1807.1999999999998</v>
      </c>
      <c r="J242" s="1277">
        <v>2259</v>
      </c>
      <c r="K242" s="1278">
        <f t="shared" si="6"/>
        <v>2.9636488034371548E-4</v>
      </c>
      <c r="L242" s="1278">
        <f t="shared" si="7"/>
        <v>0.97003494832814441</v>
      </c>
      <c r="M242" s="1279" t="s">
        <v>2319</v>
      </c>
    </row>
    <row r="243" spans="1:15" ht="25.9" customHeight="1">
      <c r="A243" s="1271">
        <v>698</v>
      </c>
      <c r="B243" s="1272" t="s">
        <v>67</v>
      </c>
      <c r="C243" s="1272" t="s">
        <v>858</v>
      </c>
      <c r="D243" s="1274" t="s">
        <v>859</v>
      </c>
      <c r="E243" s="1271" t="s">
        <v>55</v>
      </c>
      <c r="F243" s="1293">
        <v>2340</v>
      </c>
      <c r="G243" s="1283">
        <v>0.77</v>
      </c>
      <c r="H243" s="1277">
        <v>0.96250000000000002</v>
      </c>
      <c r="I243" s="1277">
        <v>1801.8</v>
      </c>
      <c r="J243" s="1277">
        <v>2252.25</v>
      </c>
      <c r="K243" s="1278">
        <f t="shared" si="6"/>
        <v>2.954793279124096E-4</v>
      </c>
      <c r="L243" s="1278">
        <f t="shared" si="7"/>
        <v>0.97033042765605682</v>
      </c>
      <c r="M243" s="1279" t="s">
        <v>2319</v>
      </c>
    </row>
    <row r="244" spans="1:15" ht="30" customHeight="1">
      <c r="A244" s="1271">
        <v>92390</v>
      </c>
      <c r="B244" s="1272" t="s">
        <v>26</v>
      </c>
      <c r="C244" s="1272" t="s">
        <v>662</v>
      </c>
      <c r="D244" s="1280" t="s">
        <v>663</v>
      </c>
      <c r="E244" s="1281" t="s">
        <v>55</v>
      </c>
      <c r="F244" s="1282">
        <v>12</v>
      </c>
      <c r="G244" s="1283">
        <v>149.62</v>
      </c>
      <c r="H244" s="1277">
        <v>187.02500000000001</v>
      </c>
      <c r="I244" s="1277">
        <v>1795.44</v>
      </c>
      <c r="J244" s="1277">
        <v>2244.3000000000002</v>
      </c>
      <c r="K244" s="1278">
        <f t="shared" si="6"/>
        <v>2.944363439377604E-4</v>
      </c>
      <c r="L244" s="1278">
        <f t="shared" si="7"/>
        <v>0.97062486399999459</v>
      </c>
      <c r="M244" s="1279" t="s">
        <v>2319</v>
      </c>
    </row>
    <row r="245" spans="1:15" ht="30" customHeight="1">
      <c r="A245" s="1271" t="s">
        <v>2616</v>
      </c>
      <c r="B245" s="1272"/>
      <c r="C245" s="1271" t="s">
        <v>1022</v>
      </c>
      <c r="D245" s="1280" t="s">
        <v>1023</v>
      </c>
      <c r="E245" s="1271" t="s">
        <v>55</v>
      </c>
      <c r="F245" s="1293">
        <v>12</v>
      </c>
      <c r="G245" s="1283">
        <v>148.875</v>
      </c>
      <c r="H245" s="1277">
        <v>186.09375</v>
      </c>
      <c r="I245" s="1277">
        <v>1786.5</v>
      </c>
      <c r="J245" s="1277">
        <v>2233.125</v>
      </c>
      <c r="K245" s="1278">
        <f t="shared" si="6"/>
        <v>2.9297026269037616E-4</v>
      </c>
      <c r="L245" s="1278">
        <f t="shared" si="7"/>
        <v>0.97091783426268496</v>
      </c>
      <c r="M245" s="1279" t="s">
        <v>2319</v>
      </c>
    </row>
    <row r="246" spans="1:15" ht="45" customHeight="1">
      <c r="A246" s="1271">
        <v>2003</v>
      </c>
      <c r="B246" s="1272" t="s">
        <v>67</v>
      </c>
      <c r="C246" s="1271" t="s">
        <v>634</v>
      </c>
      <c r="D246" s="1280" t="s">
        <v>635</v>
      </c>
      <c r="E246" s="1281" t="s">
        <v>55</v>
      </c>
      <c r="F246" s="1282">
        <v>1</v>
      </c>
      <c r="G246" s="1283">
        <v>1762.67</v>
      </c>
      <c r="H246" s="1277">
        <v>2203.3375000000001</v>
      </c>
      <c r="I246" s="1277">
        <v>1762.67</v>
      </c>
      <c r="J246" s="1277">
        <v>2203.3375000000001</v>
      </c>
      <c r="K246" s="1278">
        <f t="shared" si="6"/>
        <v>2.8906235260926132E-4</v>
      </c>
      <c r="L246" s="1278">
        <f t="shared" si="7"/>
        <v>0.97120689661529425</v>
      </c>
      <c r="M246" s="1279" t="s">
        <v>2319</v>
      </c>
    </row>
    <row r="247" spans="1:15" ht="45" customHeight="1">
      <c r="A247" s="1271">
        <v>10215</v>
      </c>
      <c r="B247" s="1272" t="s">
        <v>67</v>
      </c>
      <c r="C247" s="1271" t="s">
        <v>273</v>
      </c>
      <c r="D247" s="1274" t="s">
        <v>274</v>
      </c>
      <c r="E247" s="1271" t="s">
        <v>61</v>
      </c>
      <c r="F247" s="1293">
        <v>15.2</v>
      </c>
      <c r="G247" s="1283">
        <v>114.7</v>
      </c>
      <c r="H247" s="1277">
        <v>143.375</v>
      </c>
      <c r="I247" s="1277">
        <v>1743.44</v>
      </c>
      <c r="J247" s="1277">
        <v>2179.2999999999997</v>
      </c>
      <c r="K247" s="1278">
        <f t="shared" si="6"/>
        <v>2.8590880200666629E-4</v>
      </c>
      <c r="L247" s="1278">
        <f t="shared" si="7"/>
        <v>0.97149280541730088</v>
      </c>
      <c r="M247" s="1279" t="s">
        <v>2319</v>
      </c>
    </row>
    <row r="248" spans="1:15" ht="28.5">
      <c r="A248" s="1271">
        <v>670</v>
      </c>
      <c r="B248" s="1272" t="s">
        <v>67</v>
      </c>
      <c r="C248" s="1272" t="s">
        <v>836</v>
      </c>
      <c r="D248" s="1274" t="s">
        <v>837</v>
      </c>
      <c r="E248" s="1271" t="s">
        <v>55</v>
      </c>
      <c r="F248" s="1293">
        <v>12</v>
      </c>
      <c r="G248" s="1283">
        <v>144.87</v>
      </c>
      <c r="H248" s="1277">
        <v>181.08750000000001</v>
      </c>
      <c r="I248" s="1277">
        <v>1738.44</v>
      </c>
      <c r="J248" s="1277">
        <v>2173.0500000000002</v>
      </c>
      <c r="K248" s="1278">
        <f t="shared" si="6"/>
        <v>2.8508884605175347E-4</v>
      </c>
      <c r="L248" s="1278">
        <f t="shared" si="7"/>
        <v>0.97177789426335259</v>
      </c>
      <c r="M248" s="1279" t="s">
        <v>2319</v>
      </c>
    </row>
    <row r="249" spans="1:15">
      <c r="A249" s="1271">
        <v>4286</v>
      </c>
      <c r="B249" s="1272" t="s">
        <v>67</v>
      </c>
      <c r="C249" s="1271" t="s">
        <v>1318</v>
      </c>
      <c r="D249" s="1274" t="s">
        <v>1319</v>
      </c>
      <c r="E249" s="1281" t="s">
        <v>55</v>
      </c>
      <c r="F249" s="1282">
        <v>12</v>
      </c>
      <c r="G249" s="1300">
        <v>144.08000000000001</v>
      </c>
      <c r="H249" s="1277">
        <v>180.10000000000002</v>
      </c>
      <c r="I249" s="1277">
        <v>1728.96</v>
      </c>
      <c r="J249" s="1277">
        <v>2161.2000000000003</v>
      </c>
      <c r="K249" s="1278">
        <f t="shared" si="6"/>
        <v>2.8353420956123864E-4</v>
      </c>
      <c r="L249" s="1278">
        <f t="shared" si="7"/>
        <v>0.97206142847291388</v>
      </c>
      <c r="M249" s="1279" t="s">
        <v>2319</v>
      </c>
      <c r="N249" s="1206"/>
      <c r="O249" s="1206"/>
    </row>
    <row r="250" spans="1:15" ht="25.9" customHeight="1">
      <c r="A250" s="1271">
        <v>96545</v>
      </c>
      <c r="B250" s="1272" t="s">
        <v>26</v>
      </c>
      <c r="C250" s="1272" t="s">
        <v>173</v>
      </c>
      <c r="D250" s="1274" t="s">
        <v>174</v>
      </c>
      <c r="E250" s="1271" t="s">
        <v>170</v>
      </c>
      <c r="F250" s="1293">
        <v>104</v>
      </c>
      <c r="G250" s="1283">
        <v>16.309999999999999</v>
      </c>
      <c r="H250" s="1277">
        <v>20.387499999999999</v>
      </c>
      <c r="I250" s="1277">
        <v>1696.2399999999998</v>
      </c>
      <c r="J250" s="1277">
        <v>2120.2999999999997</v>
      </c>
      <c r="K250" s="1278">
        <f t="shared" si="6"/>
        <v>2.7816841779228858E-4</v>
      </c>
      <c r="L250" s="1278">
        <f t="shared" si="7"/>
        <v>0.97233959689070615</v>
      </c>
      <c r="M250" s="1279" t="s">
        <v>2319</v>
      </c>
    </row>
    <row r="251" spans="1:15" ht="42.75">
      <c r="A251" s="1271">
        <v>101161</v>
      </c>
      <c r="B251" s="1272" t="s">
        <v>26</v>
      </c>
      <c r="C251" s="1272" t="s">
        <v>237</v>
      </c>
      <c r="D251" s="1274" t="s">
        <v>238</v>
      </c>
      <c r="E251" s="1271" t="s">
        <v>61</v>
      </c>
      <c r="F251" s="1275">
        <v>8.6562000000000001</v>
      </c>
      <c r="G251" s="1283">
        <v>194.63</v>
      </c>
      <c r="H251" s="1283">
        <v>243.28749999999999</v>
      </c>
      <c r="I251" s="1277">
        <v>1684.756206</v>
      </c>
      <c r="J251" s="1277">
        <v>2105.9452575</v>
      </c>
      <c r="K251" s="1278">
        <f t="shared" si="6"/>
        <v>2.7628517673723002E-4</v>
      </c>
      <c r="L251" s="1278">
        <f t="shared" si="7"/>
        <v>0.97261588206744343</v>
      </c>
      <c r="M251" s="1279" t="s">
        <v>2319</v>
      </c>
    </row>
    <row r="252" spans="1:15" ht="46.5" customHeight="1">
      <c r="A252" s="1271">
        <v>91996</v>
      </c>
      <c r="B252" s="1272" t="s">
        <v>26</v>
      </c>
      <c r="C252" s="1271" t="s">
        <v>1008</v>
      </c>
      <c r="D252" s="1301" t="s">
        <v>1009</v>
      </c>
      <c r="E252" s="1271" t="s">
        <v>55</v>
      </c>
      <c r="F252" s="1293">
        <v>50</v>
      </c>
      <c r="G252" s="1283">
        <v>33.07</v>
      </c>
      <c r="H252" s="1277">
        <v>41.337499999999999</v>
      </c>
      <c r="I252" s="1277">
        <v>1653.5</v>
      </c>
      <c r="J252" s="1277">
        <v>2066.875</v>
      </c>
      <c r="K252" s="1278">
        <f t="shared" si="6"/>
        <v>2.7115943428969322E-4</v>
      </c>
      <c r="L252" s="1278">
        <f t="shared" si="7"/>
        <v>0.97288704150173311</v>
      </c>
      <c r="M252" s="1279" t="s">
        <v>2319</v>
      </c>
    </row>
    <row r="253" spans="1:15" ht="42.75">
      <c r="A253" s="1271">
        <v>9416</v>
      </c>
      <c r="B253" s="1272" t="s">
        <v>67</v>
      </c>
      <c r="C253" s="1272" t="s">
        <v>68</v>
      </c>
      <c r="D253" s="1294" t="s">
        <v>69</v>
      </c>
      <c r="E253" s="1271" t="s">
        <v>55</v>
      </c>
      <c r="F253" s="1275">
        <v>1</v>
      </c>
      <c r="G253" s="1283">
        <v>1599.27</v>
      </c>
      <c r="H253" s="1277">
        <v>1999.0875000000001</v>
      </c>
      <c r="I253" s="1277">
        <v>1599.27</v>
      </c>
      <c r="J253" s="1277">
        <v>1999.0875000000001</v>
      </c>
      <c r="K253" s="1278">
        <f t="shared" si="6"/>
        <v>2.6226619200270799E-4</v>
      </c>
      <c r="L253" s="1278">
        <f t="shared" si="7"/>
        <v>0.97314930769373587</v>
      </c>
      <c r="M253" s="1279" t="s">
        <v>2319</v>
      </c>
      <c r="N253" s="1207"/>
      <c r="O253" s="1207"/>
    </row>
    <row r="254" spans="1:15" ht="55.5" customHeight="1">
      <c r="A254" s="1271">
        <v>3724</v>
      </c>
      <c r="B254" s="1272" t="s">
        <v>67</v>
      </c>
      <c r="C254" s="1302" t="s">
        <v>418</v>
      </c>
      <c r="D254" s="1280" t="s">
        <v>419</v>
      </c>
      <c r="E254" s="1281" t="s">
        <v>61</v>
      </c>
      <c r="F254" s="1282">
        <v>136.35623519999999</v>
      </c>
      <c r="G254" s="1276">
        <v>11.64</v>
      </c>
      <c r="H254" s="1277">
        <v>14.55</v>
      </c>
      <c r="I254" s="1277">
        <v>1587.186577728</v>
      </c>
      <c r="J254" s="1277">
        <v>1983.98322216</v>
      </c>
      <c r="K254" s="1278">
        <f t="shared" si="6"/>
        <v>2.6028461719317732E-4</v>
      </c>
      <c r="L254" s="1278">
        <f t="shared" si="7"/>
        <v>0.97340959231092905</v>
      </c>
      <c r="M254" s="1279" t="s">
        <v>2319</v>
      </c>
    </row>
    <row r="255" spans="1:15" ht="44.25">
      <c r="A255" s="1271">
        <v>12627</v>
      </c>
      <c r="B255" s="1271" t="s">
        <v>67</v>
      </c>
      <c r="C255" s="1271" t="s">
        <v>1284</v>
      </c>
      <c r="D255" s="1301" t="s">
        <v>1285</v>
      </c>
      <c r="E255" s="1281" t="s">
        <v>55</v>
      </c>
      <c r="F255" s="1282">
        <v>3</v>
      </c>
      <c r="G255" s="1276">
        <v>528.03</v>
      </c>
      <c r="H255" s="1283">
        <v>660.03749999999991</v>
      </c>
      <c r="I255" s="1283">
        <v>1584.09</v>
      </c>
      <c r="J255" s="1283">
        <v>1980.1124999999997</v>
      </c>
      <c r="K255" s="1278">
        <f t="shared" si="6"/>
        <v>2.5977680572359242E-4</v>
      </c>
      <c r="L255" s="1278">
        <f t="shared" si="7"/>
        <v>0.97366936911665269</v>
      </c>
      <c r="M255" s="1279" t="s">
        <v>2319</v>
      </c>
      <c r="N255" s="1206"/>
      <c r="O255" s="1206"/>
    </row>
    <row r="256" spans="1:15" ht="33.6" customHeight="1">
      <c r="A256" s="1271">
        <v>92636</v>
      </c>
      <c r="B256" s="1272" t="s">
        <v>26</v>
      </c>
      <c r="C256" s="1272" t="s">
        <v>664</v>
      </c>
      <c r="D256" s="1280" t="s">
        <v>665</v>
      </c>
      <c r="E256" s="1281" t="s">
        <v>55</v>
      </c>
      <c r="F256" s="1282">
        <v>8</v>
      </c>
      <c r="G256" s="1283">
        <v>196.62</v>
      </c>
      <c r="H256" s="1277">
        <v>245.77500000000001</v>
      </c>
      <c r="I256" s="1277">
        <v>1572.96</v>
      </c>
      <c r="J256" s="1277">
        <v>1966.2</v>
      </c>
      <c r="K256" s="1278">
        <f t="shared" si="6"/>
        <v>2.5795158376795636E-4</v>
      </c>
      <c r="L256" s="1278">
        <f t="shared" si="7"/>
        <v>0.97392732070042065</v>
      </c>
      <c r="M256" s="1279" t="s">
        <v>2319</v>
      </c>
    </row>
    <row r="257" spans="1:13" ht="42.75">
      <c r="A257" s="1271" t="s">
        <v>327</v>
      </c>
      <c r="B257" s="1272" t="s">
        <v>67</v>
      </c>
      <c r="C257" s="1271" t="s">
        <v>328</v>
      </c>
      <c r="D257" s="1280" t="s">
        <v>329</v>
      </c>
      <c r="E257" s="1281" t="s">
        <v>55</v>
      </c>
      <c r="F257" s="1282">
        <v>1</v>
      </c>
      <c r="G257" s="1283">
        <v>1545.12</v>
      </c>
      <c r="H257" s="1277">
        <v>1931.3999999999999</v>
      </c>
      <c r="I257" s="1277">
        <v>1545.12</v>
      </c>
      <c r="J257" s="1284">
        <v>1931.3999999999999</v>
      </c>
      <c r="K257" s="1278">
        <f t="shared" si="6"/>
        <v>2.5338606901100137E-4</v>
      </c>
      <c r="L257" s="1278">
        <f t="shared" si="7"/>
        <v>0.97418070676943169</v>
      </c>
      <c r="M257" s="1279" t="s">
        <v>2319</v>
      </c>
    </row>
    <row r="258" spans="1:13" ht="28.5">
      <c r="A258" s="1271">
        <v>91846</v>
      </c>
      <c r="B258" s="1272" t="s">
        <v>26</v>
      </c>
      <c r="C258" s="1272" t="s">
        <v>1217</v>
      </c>
      <c r="D258" s="1274" t="s">
        <v>1218</v>
      </c>
      <c r="E258" s="1271" t="s">
        <v>246</v>
      </c>
      <c r="F258" s="1293">
        <v>108</v>
      </c>
      <c r="G258" s="1283">
        <v>14.23</v>
      </c>
      <c r="H258" s="1277">
        <v>17.787500000000001</v>
      </c>
      <c r="I258" s="1277">
        <v>1536.8400000000001</v>
      </c>
      <c r="J258" s="1277">
        <v>1921.0500000000002</v>
      </c>
      <c r="K258" s="1278">
        <f t="shared" ref="K258:K321" si="8">J258/$N$1</f>
        <v>2.5202822194966568E-4</v>
      </c>
      <c r="L258" s="1278">
        <f t="shared" si="7"/>
        <v>0.97443273499138139</v>
      </c>
      <c r="M258" s="1279" t="s">
        <v>2319</v>
      </c>
    </row>
    <row r="259" spans="1:13" ht="28.5">
      <c r="A259" s="1271">
        <v>2491</v>
      </c>
      <c r="B259" s="1272" t="s">
        <v>67</v>
      </c>
      <c r="C259" s="1272" t="s">
        <v>74</v>
      </c>
      <c r="D259" s="1294" t="s">
        <v>75</v>
      </c>
      <c r="E259" s="1271" t="s">
        <v>61</v>
      </c>
      <c r="F259" s="1275">
        <v>2895.75</v>
      </c>
      <c r="G259" s="1283">
        <v>0.53</v>
      </c>
      <c r="H259" s="1277">
        <v>0.66250000000000009</v>
      </c>
      <c r="I259" s="1277">
        <v>1534.7475000000002</v>
      </c>
      <c r="J259" s="1277">
        <v>1918.4343750000003</v>
      </c>
      <c r="K259" s="1278">
        <f t="shared" si="8"/>
        <v>2.5168507038253463E-4</v>
      </c>
      <c r="L259" s="1278">
        <f t="shared" si="7"/>
        <v>0.97468442006176392</v>
      </c>
      <c r="M259" s="1279" t="s">
        <v>2319</v>
      </c>
    </row>
    <row r="260" spans="1:13" ht="38.25" customHeight="1">
      <c r="A260" s="1271">
        <v>1511</v>
      </c>
      <c r="B260" s="1272" t="s">
        <v>67</v>
      </c>
      <c r="C260" s="1272" t="s">
        <v>650</v>
      </c>
      <c r="D260" s="1280" t="s">
        <v>651</v>
      </c>
      <c r="E260" s="1281" t="s">
        <v>55</v>
      </c>
      <c r="F260" s="1282">
        <v>7</v>
      </c>
      <c r="G260" s="1283">
        <v>216.64</v>
      </c>
      <c r="H260" s="1277">
        <v>270.79999999999995</v>
      </c>
      <c r="I260" s="1277">
        <v>1516.48</v>
      </c>
      <c r="J260" s="1277">
        <v>1895.5999999999997</v>
      </c>
      <c r="K260" s="1278">
        <f t="shared" si="8"/>
        <v>2.486893613012603E-4</v>
      </c>
      <c r="L260" s="1278">
        <f t="shared" ref="L260:L323" si="9">K260+L259</f>
        <v>0.97493310942306521</v>
      </c>
      <c r="M260" s="1279" t="s">
        <v>2319</v>
      </c>
    </row>
    <row r="261" spans="1:13">
      <c r="A261" s="1271">
        <v>10620</v>
      </c>
      <c r="B261" s="1272" t="s">
        <v>67</v>
      </c>
      <c r="C261" s="1272" t="s">
        <v>992</v>
      </c>
      <c r="D261" s="1280" t="s">
        <v>993</v>
      </c>
      <c r="E261" s="1271" t="s">
        <v>55</v>
      </c>
      <c r="F261" s="1293">
        <v>360</v>
      </c>
      <c r="G261" s="1283">
        <v>4.21</v>
      </c>
      <c r="H261" s="1277">
        <v>5.2625000000000002</v>
      </c>
      <c r="I261" s="1277">
        <v>1515.6</v>
      </c>
      <c r="J261" s="1277">
        <v>1894.5</v>
      </c>
      <c r="K261" s="1278">
        <f t="shared" si="8"/>
        <v>2.4854504905319567E-4</v>
      </c>
      <c r="L261" s="1278">
        <f t="shared" si="9"/>
        <v>0.97518165447211846</v>
      </c>
      <c r="M261" s="1279" t="s">
        <v>2319</v>
      </c>
    </row>
    <row r="262" spans="1:13" ht="42.75">
      <c r="A262" s="1271">
        <v>89806</v>
      </c>
      <c r="B262" s="1272" t="s">
        <v>26</v>
      </c>
      <c r="C262" s="1272" t="s">
        <v>1224</v>
      </c>
      <c r="D262" s="1274" t="s">
        <v>1225</v>
      </c>
      <c r="E262" s="1271" t="s">
        <v>55</v>
      </c>
      <c r="F262" s="1293">
        <v>69</v>
      </c>
      <c r="G262" s="1283">
        <v>21.95</v>
      </c>
      <c r="H262" s="1277">
        <v>27.4375</v>
      </c>
      <c r="I262" s="1277">
        <v>1514.55</v>
      </c>
      <c r="J262" s="1277">
        <v>1893.1875</v>
      </c>
      <c r="K262" s="1278">
        <f t="shared" si="8"/>
        <v>2.4837285830266398E-4</v>
      </c>
      <c r="L262" s="1278">
        <f t="shared" si="9"/>
        <v>0.97543002733042117</v>
      </c>
      <c r="M262" s="1279" t="s">
        <v>2319</v>
      </c>
    </row>
    <row r="263" spans="1:13" ht="28.5">
      <c r="A263" s="1271" t="s">
        <v>2486</v>
      </c>
      <c r="B263" s="1271"/>
      <c r="C263" s="1271" t="s">
        <v>321</v>
      </c>
      <c r="D263" s="1280" t="s">
        <v>2487</v>
      </c>
      <c r="E263" s="1281" t="s">
        <v>61</v>
      </c>
      <c r="F263" s="1282">
        <v>1.3399999999999999</v>
      </c>
      <c r="G263" s="1283">
        <v>1070.287018</v>
      </c>
      <c r="H263" s="1283">
        <v>1337.8587725</v>
      </c>
      <c r="I263" s="1283">
        <v>1434.1846041199999</v>
      </c>
      <c r="J263" s="1303">
        <v>1792.7307551499998</v>
      </c>
      <c r="K263" s="1278">
        <f t="shared" si="8"/>
        <v>2.3519364131851635E-4</v>
      </c>
      <c r="L263" s="1278">
        <f t="shared" si="9"/>
        <v>0.97566522097173969</v>
      </c>
      <c r="M263" s="1279" t="s">
        <v>2319</v>
      </c>
    </row>
    <row r="264" spans="1:13" ht="29.25" customHeight="1">
      <c r="A264" s="1271">
        <v>4527</v>
      </c>
      <c r="B264" s="1272" t="s">
        <v>67</v>
      </c>
      <c r="C264" s="1272" t="s">
        <v>832</v>
      </c>
      <c r="D264" s="1274" t="s">
        <v>833</v>
      </c>
      <c r="E264" s="1271" t="s">
        <v>55</v>
      </c>
      <c r="F264" s="1293">
        <v>2</v>
      </c>
      <c r="G264" s="1283">
        <v>705.67</v>
      </c>
      <c r="H264" s="1277">
        <v>882.08749999999998</v>
      </c>
      <c r="I264" s="1277">
        <v>1411.34</v>
      </c>
      <c r="J264" s="1277">
        <v>1764.175</v>
      </c>
      <c r="K264" s="1278">
        <f t="shared" si="8"/>
        <v>2.3144732748135206E-4</v>
      </c>
      <c r="L264" s="1278">
        <f t="shared" si="9"/>
        <v>0.97589666829922106</v>
      </c>
      <c r="M264" s="1279" t="s">
        <v>2319</v>
      </c>
    </row>
    <row r="265" spans="1:13" ht="28.5">
      <c r="A265" s="1271">
        <v>4404</v>
      </c>
      <c r="B265" s="1272" t="s">
        <v>67</v>
      </c>
      <c r="C265" s="1272" t="s">
        <v>1081</v>
      </c>
      <c r="D265" s="1274" t="s">
        <v>1082</v>
      </c>
      <c r="E265" s="1271" t="s">
        <v>55</v>
      </c>
      <c r="F265" s="1293">
        <v>8</v>
      </c>
      <c r="G265" s="1283">
        <v>172.67</v>
      </c>
      <c r="H265" s="1277">
        <v>215.83749999999998</v>
      </c>
      <c r="I265" s="1277">
        <v>1381.36</v>
      </c>
      <c r="J265" s="1277">
        <v>1726.6999999999998</v>
      </c>
      <c r="K265" s="1278">
        <f t="shared" si="8"/>
        <v>2.2653087157569434E-4</v>
      </c>
      <c r="L265" s="1278">
        <f t="shared" si="9"/>
        <v>0.97612319917079671</v>
      </c>
      <c r="M265" s="1279" t="s">
        <v>2319</v>
      </c>
    </row>
    <row r="266" spans="1:13">
      <c r="A266" s="1271" t="s">
        <v>1096</v>
      </c>
      <c r="B266" s="1272" t="s">
        <v>67</v>
      </c>
      <c r="C266" s="1272" t="s">
        <v>1097</v>
      </c>
      <c r="D266" s="1274" t="s">
        <v>1098</v>
      </c>
      <c r="E266" s="1271" t="s">
        <v>40</v>
      </c>
      <c r="F266" s="1293">
        <v>160</v>
      </c>
      <c r="G266" s="1283">
        <v>8.57</v>
      </c>
      <c r="H266" s="1277">
        <v>10.7125</v>
      </c>
      <c r="I266" s="1277">
        <v>1371.2</v>
      </c>
      <c r="J266" s="1277">
        <v>1714</v>
      </c>
      <c r="K266" s="1278">
        <f t="shared" si="8"/>
        <v>2.2486472107531138E-4</v>
      </c>
      <c r="L266" s="1278">
        <f t="shared" si="9"/>
        <v>0.97634806389187201</v>
      </c>
      <c r="M266" s="1279" t="s">
        <v>2319</v>
      </c>
    </row>
    <row r="267" spans="1:13" ht="42.75">
      <c r="A267" s="1271">
        <v>91930</v>
      </c>
      <c r="B267" s="1272" t="s">
        <v>26</v>
      </c>
      <c r="C267" s="1271" t="s">
        <v>1052</v>
      </c>
      <c r="D267" s="1274" t="s">
        <v>1053</v>
      </c>
      <c r="E267" s="1271" t="s">
        <v>246</v>
      </c>
      <c r="F267" s="1293">
        <v>147.41999999999999</v>
      </c>
      <c r="G267" s="1283">
        <v>9.27</v>
      </c>
      <c r="H267" s="1277">
        <v>11.587499999999999</v>
      </c>
      <c r="I267" s="1277">
        <v>1366.5833999999998</v>
      </c>
      <c r="J267" s="1277">
        <v>1708.2292499999996</v>
      </c>
      <c r="K267" s="1278">
        <f t="shared" si="8"/>
        <v>2.2410763934302115E-4</v>
      </c>
      <c r="L267" s="1278">
        <f t="shared" si="9"/>
        <v>0.97657217153121501</v>
      </c>
      <c r="M267" s="1279" t="s">
        <v>2319</v>
      </c>
    </row>
    <row r="268" spans="1:13" ht="28.5">
      <c r="A268" s="1271">
        <v>8851</v>
      </c>
      <c r="B268" s="1272" t="s">
        <v>67</v>
      </c>
      <c r="C268" s="1271" t="s">
        <v>1333</v>
      </c>
      <c r="D268" s="1274" t="s">
        <v>1334</v>
      </c>
      <c r="E268" s="1281" t="s">
        <v>55</v>
      </c>
      <c r="F268" s="1282">
        <v>7</v>
      </c>
      <c r="G268" s="1304">
        <v>191.86</v>
      </c>
      <c r="H268" s="1304">
        <v>239.82500000000002</v>
      </c>
      <c r="I268" s="1304">
        <v>1343.02</v>
      </c>
      <c r="J268" s="1304">
        <v>1678.7750000000001</v>
      </c>
      <c r="K268" s="1278">
        <f t="shared" si="8"/>
        <v>2.2024344931342231E-4</v>
      </c>
      <c r="L268" s="1278">
        <f t="shared" si="9"/>
        <v>0.97679241498052838</v>
      </c>
      <c r="M268" s="1279" t="s">
        <v>2319</v>
      </c>
    </row>
    <row r="269" spans="1:13" ht="28.5">
      <c r="A269" s="1271">
        <v>89513</v>
      </c>
      <c r="B269" s="1272" t="s">
        <v>26</v>
      </c>
      <c r="C269" s="1272" t="s">
        <v>473</v>
      </c>
      <c r="D269" s="1294" t="s">
        <v>474</v>
      </c>
      <c r="E269" s="1271" t="s">
        <v>55</v>
      </c>
      <c r="F269" s="1275">
        <v>12</v>
      </c>
      <c r="G269" s="1283">
        <v>111.86</v>
      </c>
      <c r="H269" s="1277">
        <v>139.82499999999999</v>
      </c>
      <c r="I269" s="1277">
        <v>1342.32</v>
      </c>
      <c r="J269" s="1277">
        <v>1677.8999999999999</v>
      </c>
      <c r="K269" s="1278">
        <f t="shared" si="8"/>
        <v>2.201286554797345E-4</v>
      </c>
      <c r="L269" s="1278">
        <f t="shared" si="9"/>
        <v>0.97701254363600809</v>
      </c>
      <c r="M269" s="1279" t="s">
        <v>2319</v>
      </c>
    </row>
    <row r="270" spans="1:13" ht="28.5">
      <c r="A270" s="1271">
        <v>94500</v>
      </c>
      <c r="B270" s="1272" t="s">
        <v>26</v>
      </c>
      <c r="C270" s="1272" t="s">
        <v>666</v>
      </c>
      <c r="D270" s="1280" t="s">
        <v>667</v>
      </c>
      <c r="E270" s="1281" t="s">
        <v>55</v>
      </c>
      <c r="F270" s="1282">
        <v>4</v>
      </c>
      <c r="G270" s="1283">
        <v>330.1</v>
      </c>
      <c r="H270" s="1277">
        <v>412.625</v>
      </c>
      <c r="I270" s="1277">
        <v>1320.4</v>
      </c>
      <c r="J270" s="1277">
        <v>1650.5</v>
      </c>
      <c r="K270" s="1278">
        <f t="shared" si="8"/>
        <v>2.1653396857339638E-4</v>
      </c>
      <c r="L270" s="1278">
        <f t="shared" si="9"/>
        <v>0.97722907760458144</v>
      </c>
      <c r="M270" s="1279" t="s">
        <v>2319</v>
      </c>
    </row>
    <row r="271" spans="1:13" ht="28.5">
      <c r="A271" s="1271">
        <v>244</v>
      </c>
      <c r="B271" s="1272" t="s">
        <v>67</v>
      </c>
      <c r="C271" s="1271" t="s">
        <v>271</v>
      </c>
      <c r="D271" s="1274" t="s">
        <v>272</v>
      </c>
      <c r="E271" s="1271" t="s">
        <v>61</v>
      </c>
      <c r="F271" s="1293">
        <v>15.2</v>
      </c>
      <c r="G271" s="1283">
        <v>85.55</v>
      </c>
      <c r="H271" s="1277">
        <v>106.9375</v>
      </c>
      <c r="I271" s="1277">
        <v>1300.3599999999999</v>
      </c>
      <c r="J271" s="1277">
        <v>1625.4499999999998</v>
      </c>
      <c r="K271" s="1278">
        <f t="shared" si="8"/>
        <v>2.1324758510610551E-4</v>
      </c>
      <c r="L271" s="1278">
        <f t="shared" si="9"/>
        <v>0.97744232518968754</v>
      </c>
      <c r="M271" s="1279" t="s">
        <v>2319</v>
      </c>
    </row>
    <row r="272" spans="1:13" ht="28.5">
      <c r="A272" s="1296">
        <v>31</v>
      </c>
      <c r="B272" s="1296" t="s">
        <v>67</v>
      </c>
      <c r="C272" s="1272" t="s">
        <v>125</v>
      </c>
      <c r="D272" s="1274" t="s">
        <v>126</v>
      </c>
      <c r="E272" s="1271" t="s">
        <v>61</v>
      </c>
      <c r="F272" s="1291">
        <v>86.433899999999994</v>
      </c>
      <c r="G272" s="1292">
        <v>14.92</v>
      </c>
      <c r="H272" s="1283">
        <v>18.649999999999999</v>
      </c>
      <c r="I272" s="1277">
        <v>1289.5937879999999</v>
      </c>
      <c r="J272" s="1277">
        <v>1611.9922349999997</v>
      </c>
      <c r="K272" s="1278">
        <f t="shared" si="8"/>
        <v>2.1148202117785456E-4</v>
      </c>
      <c r="L272" s="1278">
        <f t="shared" si="9"/>
        <v>0.97765380721086537</v>
      </c>
      <c r="M272" s="1279" t="s">
        <v>2319</v>
      </c>
    </row>
    <row r="273" spans="1:15">
      <c r="A273" s="1271">
        <v>9031</v>
      </c>
      <c r="B273" s="1272" t="s">
        <v>67</v>
      </c>
      <c r="C273" s="1271" t="s">
        <v>1328</v>
      </c>
      <c r="D273" s="1274" t="s">
        <v>1329</v>
      </c>
      <c r="E273" s="1281" t="s">
        <v>109</v>
      </c>
      <c r="F273" s="1282">
        <v>5.1440000000000001</v>
      </c>
      <c r="G273" s="1304">
        <v>249.54</v>
      </c>
      <c r="H273" s="1304">
        <v>311.92500000000001</v>
      </c>
      <c r="I273" s="1304">
        <v>1283.6337599999999</v>
      </c>
      <c r="J273" s="1304">
        <v>1604.5422000000001</v>
      </c>
      <c r="K273" s="1278">
        <f t="shared" si="8"/>
        <v>2.1050462908784508E-4</v>
      </c>
      <c r="L273" s="1278">
        <f t="shared" si="9"/>
        <v>0.97786431183995326</v>
      </c>
      <c r="M273" s="1279" t="s">
        <v>2319</v>
      </c>
    </row>
    <row r="274" spans="1:15" ht="48.75" customHeight="1">
      <c r="A274" s="1271">
        <v>93195</v>
      </c>
      <c r="B274" s="1272" t="s">
        <v>26</v>
      </c>
      <c r="C274" s="1272" t="s">
        <v>251</v>
      </c>
      <c r="D274" s="1274" t="s">
        <v>252</v>
      </c>
      <c r="E274" s="1271" t="s">
        <v>246</v>
      </c>
      <c r="F274" s="1293">
        <v>24.18</v>
      </c>
      <c r="G274" s="1283">
        <v>51.69</v>
      </c>
      <c r="H274" s="1283">
        <v>64.612499999999997</v>
      </c>
      <c r="I274" s="1277">
        <v>1249.8642</v>
      </c>
      <c r="J274" s="1277">
        <v>1562.33025</v>
      </c>
      <c r="K274" s="1278">
        <f t="shared" si="8"/>
        <v>2.0496671872448745E-4</v>
      </c>
      <c r="L274" s="1278">
        <f t="shared" si="9"/>
        <v>0.97806927855867776</v>
      </c>
      <c r="M274" s="1279" t="s">
        <v>2319</v>
      </c>
    </row>
    <row r="275" spans="1:15" ht="43.5">
      <c r="A275" s="1271">
        <v>2308</v>
      </c>
      <c r="B275" s="1272" t="s">
        <v>67</v>
      </c>
      <c r="C275" s="1272" t="s">
        <v>301</v>
      </c>
      <c r="D275" s="1280" t="s">
        <v>302</v>
      </c>
      <c r="E275" s="1281" t="s">
        <v>61</v>
      </c>
      <c r="F275" s="1282">
        <v>65.599999999999994</v>
      </c>
      <c r="G275" s="1289">
        <v>18.829999999999998</v>
      </c>
      <c r="H275" s="1305">
        <v>23.537499999999998</v>
      </c>
      <c r="I275" s="1277">
        <v>1235.2479999999998</v>
      </c>
      <c r="J275" s="1284">
        <v>1544.0599999999997</v>
      </c>
      <c r="K275" s="1278">
        <f t="shared" si="8"/>
        <v>2.0256979067884785E-4</v>
      </c>
      <c r="L275" s="1278">
        <f t="shared" si="9"/>
        <v>0.97827184834935665</v>
      </c>
      <c r="M275" s="1279" t="s">
        <v>2319</v>
      </c>
    </row>
    <row r="276" spans="1:15" ht="42.75">
      <c r="A276" s="1271">
        <v>89709</v>
      </c>
      <c r="B276" s="1272" t="s">
        <v>26</v>
      </c>
      <c r="C276" s="1272" t="s">
        <v>595</v>
      </c>
      <c r="D276" s="1294" t="s">
        <v>596</v>
      </c>
      <c r="E276" s="1271" t="s">
        <v>96</v>
      </c>
      <c r="F276" s="1275">
        <v>66</v>
      </c>
      <c r="G276" s="1283">
        <v>18.559999999999999</v>
      </c>
      <c r="H276" s="1277">
        <v>23.2</v>
      </c>
      <c r="I276" s="1277">
        <v>1224.9599999999998</v>
      </c>
      <c r="J276" s="1277">
        <v>1531.2</v>
      </c>
      <c r="K276" s="1278">
        <f t="shared" si="8"/>
        <v>2.0088264930601913E-4</v>
      </c>
      <c r="L276" s="1278">
        <f t="shared" si="9"/>
        <v>0.97847273099866272</v>
      </c>
      <c r="M276" s="1279" t="s">
        <v>2319</v>
      </c>
    </row>
    <row r="277" spans="1:15" ht="42.75">
      <c r="A277" s="1271">
        <v>100947</v>
      </c>
      <c r="B277" s="1272" t="s">
        <v>26</v>
      </c>
      <c r="C277" s="1272" t="s">
        <v>87</v>
      </c>
      <c r="D277" s="1274" t="s">
        <v>88</v>
      </c>
      <c r="E277" s="1271" t="s">
        <v>89</v>
      </c>
      <c r="F277" s="1291">
        <v>630</v>
      </c>
      <c r="G277" s="1292">
        <v>1.94</v>
      </c>
      <c r="H277" s="1277">
        <v>2.4249999999999998</v>
      </c>
      <c r="I277" s="1277">
        <v>1222.2</v>
      </c>
      <c r="J277" s="1277">
        <v>1527.75</v>
      </c>
      <c r="K277" s="1278">
        <f t="shared" si="8"/>
        <v>2.004300336189072E-4</v>
      </c>
      <c r="L277" s="1278">
        <f t="shared" si="9"/>
        <v>0.97867316103228164</v>
      </c>
      <c r="M277" s="1279" t="s">
        <v>2319</v>
      </c>
    </row>
    <row r="278" spans="1:15" ht="42.75">
      <c r="A278" s="1271">
        <v>91834</v>
      </c>
      <c r="B278" s="1272" t="s">
        <v>26</v>
      </c>
      <c r="C278" s="1272" t="s">
        <v>1211</v>
      </c>
      <c r="D278" s="1274" t="s">
        <v>1132</v>
      </c>
      <c r="E278" s="1271" t="s">
        <v>246</v>
      </c>
      <c r="F278" s="1293">
        <v>120</v>
      </c>
      <c r="G278" s="1283">
        <v>10.11</v>
      </c>
      <c r="H278" s="1277">
        <v>12.637499999999999</v>
      </c>
      <c r="I278" s="1277">
        <v>1213.1999999999998</v>
      </c>
      <c r="J278" s="1277">
        <v>1516.5</v>
      </c>
      <c r="K278" s="1278">
        <f t="shared" si="8"/>
        <v>1.9895411290006399E-4</v>
      </c>
      <c r="L278" s="1278">
        <f t="shared" si="9"/>
        <v>0.97887211514518169</v>
      </c>
      <c r="M278" s="1279" t="s">
        <v>2319</v>
      </c>
    </row>
    <row r="279" spans="1:15">
      <c r="A279" s="1271" t="s">
        <v>2663</v>
      </c>
      <c r="B279" s="1271"/>
      <c r="C279" s="1271" t="s">
        <v>1356</v>
      </c>
      <c r="D279" s="1274" t="s">
        <v>1357</v>
      </c>
      <c r="E279" s="1295" t="s">
        <v>55</v>
      </c>
      <c r="F279" s="1275">
        <v>1</v>
      </c>
      <c r="G279" s="1293">
        <v>1200</v>
      </c>
      <c r="H279" s="1293">
        <v>1500</v>
      </c>
      <c r="I279" s="1293">
        <v>1200</v>
      </c>
      <c r="J279" s="1275">
        <v>1500</v>
      </c>
      <c r="K279" s="1278">
        <f t="shared" si="8"/>
        <v>1.9678942917909396E-4</v>
      </c>
      <c r="L279" s="1278">
        <f t="shared" si="9"/>
        <v>0.9790689045743608</v>
      </c>
      <c r="M279" s="1279" t="s">
        <v>2319</v>
      </c>
    </row>
    <row r="280" spans="1:15">
      <c r="A280" s="1271" t="s">
        <v>2664</v>
      </c>
      <c r="B280" s="1271"/>
      <c r="C280" s="1271" t="s">
        <v>1358</v>
      </c>
      <c r="D280" s="1274" t="s">
        <v>1359</v>
      </c>
      <c r="E280" s="1295" t="s">
        <v>55</v>
      </c>
      <c r="F280" s="1275">
        <v>1</v>
      </c>
      <c r="G280" s="1293">
        <v>1200</v>
      </c>
      <c r="H280" s="1293">
        <v>1500</v>
      </c>
      <c r="I280" s="1293">
        <v>1200</v>
      </c>
      <c r="J280" s="1275">
        <v>1500</v>
      </c>
      <c r="K280" s="1278">
        <f t="shared" si="8"/>
        <v>1.9678942917909396E-4</v>
      </c>
      <c r="L280" s="1278">
        <f t="shared" si="9"/>
        <v>0.97926569400353991</v>
      </c>
      <c r="M280" s="1279" t="s">
        <v>2319</v>
      </c>
    </row>
    <row r="281" spans="1:15">
      <c r="A281" s="1271">
        <v>9277</v>
      </c>
      <c r="B281" s="1272" t="s">
        <v>67</v>
      </c>
      <c r="C281" s="1272" t="s">
        <v>1168</v>
      </c>
      <c r="D281" s="1274" t="s">
        <v>797</v>
      </c>
      <c r="E281" s="1271" t="s">
        <v>246</v>
      </c>
      <c r="F281" s="1293">
        <v>20</v>
      </c>
      <c r="G281" s="1283">
        <v>59.87</v>
      </c>
      <c r="H281" s="1277">
        <v>74.837499999999991</v>
      </c>
      <c r="I281" s="1277">
        <v>1197.3999999999999</v>
      </c>
      <c r="J281" s="1277">
        <v>1496.7499999999998</v>
      </c>
      <c r="K281" s="1278">
        <f t="shared" si="8"/>
        <v>1.9636305208253923E-4</v>
      </c>
      <c r="L281" s="1278">
        <f t="shared" si="9"/>
        <v>0.9794620570556225</v>
      </c>
      <c r="M281" s="1279" t="s">
        <v>2319</v>
      </c>
    </row>
    <row r="282" spans="1:15" ht="33.75" customHeight="1">
      <c r="A282" s="1271">
        <v>12511</v>
      </c>
      <c r="B282" s="1272" t="s">
        <v>67</v>
      </c>
      <c r="C282" s="1271" t="s">
        <v>1317</v>
      </c>
      <c r="D282" s="1274" t="s">
        <v>2729</v>
      </c>
      <c r="E282" s="1281" t="s">
        <v>55</v>
      </c>
      <c r="F282" s="1282">
        <v>14</v>
      </c>
      <c r="G282" s="1300">
        <v>84.46</v>
      </c>
      <c r="H282" s="1277">
        <v>105.57499999999999</v>
      </c>
      <c r="I282" s="1277">
        <v>1182.4399999999998</v>
      </c>
      <c r="J282" s="1277">
        <v>1478.0499999999997</v>
      </c>
      <c r="K282" s="1278">
        <f t="shared" si="8"/>
        <v>1.9390974386543984E-4</v>
      </c>
      <c r="L282" s="1278">
        <f t="shared" si="9"/>
        <v>0.97965596679948796</v>
      </c>
      <c r="M282" s="1279" t="s">
        <v>2319</v>
      </c>
      <c r="N282" s="1206"/>
      <c r="O282" s="1206"/>
    </row>
    <row r="283" spans="1:15" ht="57">
      <c r="A283" s="1271">
        <v>11853</v>
      </c>
      <c r="B283" s="1272" t="s">
        <v>67</v>
      </c>
      <c r="C283" s="1272" t="s">
        <v>646</v>
      </c>
      <c r="D283" s="1280" t="s">
        <v>647</v>
      </c>
      <c r="E283" s="1281" t="s">
        <v>55</v>
      </c>
      <c r="F283" s="1282">
        <v>28</v>
      </c>
      <c r="G283" s="1283">
        <v>41.02</v>
      </c>
      <c r="H283" s="1277">
        <v>51.275000000000006</v>
      </c>
      <c r="I283" s="1277">
        <v>1148.5600000000002</v>
      </c>
      <c r="J283" s="1277">
        <v>1435.7000000000003</v>
      </c>
      <c r="K283" s="1278">
        <f t="shared" si="8"/>
        <v>1.8835372231495017E-4</v>
      </c>
      <c r="L283" s="1278">
        <f t="shared" si="9"/>
        <v>0.97984432052180293</v>
      </c>
      <c r="M283" s="1279" t="s">
        <v>2319</v>
      </c>
    </row>
    <row r="284" spans="1:15" ht="42.75">
      <c r="A284" s="1271">
        <v>100435</v>
      </c>
      <c r="B284" s="1281" t="s">
        <v>26</v>
      </c>
      <c r="C284" s="1271" t="s">
        <v>262</v>
      </c>
      <c r="D284" s="1274" t="s">
        <v>263</v>
      </c>
      <c r="E284" s="1271" t="s">
        <v>246</v>
      </c>
      <c r="F284" s="1293">
        <v>12.49</v>
      </c>
      <c r="G284" s="1283">
        <v>91.12</v>
      </c>
      <c r="H284" s="1283">
        <v>113.9</v>
      </c>
      <c r="I284" s="1283">
        <v>1138.0888</v>
      </c>
      <c r="J284" s="1283">
        <v>1422.6110000000001</v>
      </c>
      <c r="K284" s="1278">
        <f t="shared" si="8"/>
        <v>1.8663653775593338E-4</v>
      </c>
      <c r="L284" s="1278">
        <f t="shared" si="9"/>
        <v>0.98003095705955889</v>
      </c>
      <c r="M284" s="1279" t="s">
        <v>2319</v>
      </c>
    </row>
    <row r="285" spans="1:15">
      <c r="A285" s="1271" t="s">
        <v>2649</v>
      </c>
      <c r="B285" s="1271"/>
      <c r="C285" s="1271" t="s">
        <v>1346</v>
      </c>
      <c r="D285" s="1274" t="s">
        <v>1347</v>
      </c>
      <c r="E285" s="1295" t="s">
        <v>55</v>
      </c>
      <c r="F285" s="1275">
        <v>1</v>
      </c>
      <c r="G285" s="1293">
        <v>1124</v>
      </c>
      <c r="H285" s="1293">
        <v>1405</v>
      </c>
      <c r="I285" s="1293">
        <v>1124</v>
      </c>
      <c r="J285" s="1275">
        <v>1405</v>
      </c>
      <c r="K285" s="1278">
        <f t="shared" si="8"/>
        <v>1.8432609866441801E-4</v>
      </c>
      <c r="L285" s="1278">
        <f t="shared" si="9"/>
        <v>0.98021528315822326</v>
      </c>
      <c r="M285" s="1279" t="s">
        <v>2319</v>
      </c>
    </row>
    <row r="286" spans="1:15" ht="42.75">
      <c r="A286" s="1281">
        <v>100948</v>
      </c>
      <c r="B286" s="1272" t="s">
        <v>26</v>
      </c>
      <c r="C286" s="1272" t="s">
        <v>90</v>
      </c>
      <c r="D286" s="1274" t="s">
        <v>91</v>
      </c>
      <c r="E286" s="1271" t="s">
        <v>89</v>
      </c>
      <c r="F286" s="1291">
        <v>1470</v>
      </c>
      <c r="G286" s="1292">
        <v>0.76</v>
      </c>
      <c r="H286" s="1277">
        <v>0.95</v>
      </c>
      <c r="I286" s="1277">
        <v>1117.2</v>
      </c>
      <c r="J286" s="1277">
        <v>1396.5</v>
      </c>
      <c r="K286" s="1278">
        <f t="shared" si="8"/>
        <v>1.8321095856573647E-4</v>
      </c>
      <c r="L286" s="1278">
        <f t="shared" si="9"/>
        <v>0.98039849411678903</v>
      </c>
      <c r="M286" s="1279" t="s">
        <v>2319</v>
      </c>
    </row>
    <row r="287" spans="1:15" ht="42.75">
      <c r="A287" s="1271">
        <v>39719</v>
      </c>
      <c r="B287" s="1272" t="s">
        <v>26</v>
      </c>
      <c r="C287" s="1272" t="s">
        <v>363</v>
      </c>
      <c r="D287" s="1280" t="s">
        <v>364</v>
      </c>
      <c r="E287" s="1281" t="s">
        <v>365</v>
      </c>
      <c r="F287" s="1282">
        <v>8</v>
      </c>
      <c r="G287" s="1306">
        <v>138.11000000000001</v>
      </c>
      <c r="H287" s="1289">
        <v>172.63750000000002</v>
      </c>
      <c r="I287" s="1277">
        <v>1104.8800000000001</v>
      </c>
      <c r="J287" s="1277">
        <v>1381.1000000000001</v>
      </c>
      <c r="K287" s="1278">
        <f t="shared" si="8"/>
        <v>1.8119058709283113E-4</v>
      </c>
      <c r="L287" s="1278">
        <f t="shared" si="9"/>
        <v>0.9805796847038819</v>
      </c>
      <c r="M287" s="1279" t="s">
        <v>2319</v>
      </c>
      <c r="O287" s="1189">
        <f>N287*6.77</f>
        <v>0</v>
      </c>
    </row>
    <row r="288" spans="1:15" ht="28.5">
      <c r="A288" s="1271">
        <v>88267</v>
      </c>
      <c r="B288" s="1272" t="s">
        <v>26</v>
      </c>
      <c r="C288" s="1299" t="s">
        <v>441</v>
      </c>
      <c r="D288" s="1280" t="s">
        <v>442</v>
      </c>
      <c r="E288" s="1281" t="s">
        <v>40</v>
      </c>
      <c r="F288" s="1288">
        <v>40</v>
      </c>
      <c r="G288" s="1289">
        <v>27.09</v>
      </c>
      <c r="H288" s="1290">
        <v>33.862499999999997</v>
      </c>
      <c r="I288" s="1290">
        <v>1083.5999999999999</v>
      </c>
      <c r="J288" s="1290">
        <v>1354.5</v>
      </c>
      <c r="K288" s="1278">
        <f t="shared" si="8"/>
        <v>1.7770085454872186E-4</v>
      </c>
      <c r="L288" s="1278">
        <f t="shared" si="9"/>
        <v>0.98075738555843062</v>
      </c>
      <c r="M288" s="1279" t="s">
        <v>2319</v>
      </c>
    </row>
    <row r="289" spans="1:15" ht="34.5" customHeight="1">
      <c r="A289" s="1271" t="s">
        <v>2655</v>
      </c>
      <c r="B289" s="1271"/>
      <c r="C289" s="1271" t="s">
        <v>1348</v>
      </c>
      <c r="D289" s="1274" t="s">
        <v>1349</v>
      </c>
      <c r="E289" s="1295" t="s">
        <v>55</v>
      </c>
      <c r="F289" s="1275">
        <v>1</v>
      </c>
      <c r="G289" s="1293">
        <v>1080</v>
      </c>
      <c r="H289" s="1293">
        <v>1350</v>
      </c>
      <c r="I289" s="1293">
        <v>1080</v>
      </c>
      <c r="J289" s="1275">
        <v>1350</v>
      </c>
      <c r="K289" s="1278">
        <f t="shared" si="8"/>
        <v>1.7711048626118457E-4</v>
      </c>
      <c r="L289" s="1278">
        <f t="shared" si="9"/>
        <v>0.98093449604469185</v>
      </c>
      <c r="M289" s="1279" t="s">
        <v>2319</v>
      </c>
    </row>
    <row r="290" spans="1:15" ht="28.5">
      <c r="A290" s="1285">
        <v>8473</v>
      </c>
      <c r="B290" s="1286" t="s">
        <v>67</v>
      </c>
      <c r="C290" s="1272" t="s">
        <v>591</v>
      </c>
      <c r="D290" s="1294" t="s">
        <v>592</v>
      </c>
      <c r="E290" s="1271" t="s">
        <v>246</v>
      </c>
      <c r="F290" s="1275">
        <v>12</v>
      </c>
      <c r="G290" s="1283">
        <v>88.86</v>
      </c>
      <c r="H290" s="1277">
        <v>111.075</v>
      </c>
      <c r="I290" s="1277">
        <v>1066.32</v>
      </c>
      <c r="J290" s="1277">
        <v>1332.9</v>
      </c>
      <c r="K290" s="1278">
        <f t="shared" si="8"/>
        <v>1.7486708676854292E-4</v>
      </c>
      <c r="L290" s="1278">
        <f t="shared" si="9"/>
        <v>0.98110936313146035</v>
      </c>
      <c r="M290" s="1279" t="s">
        <v>2319</v>
      </c>
    </row>
    <row r="291" spans="1:15">
      <c r="A291" s="1271">
        <v>3811</v>
      </c>
      <c r="B291" s="1272" t="s">
        <v>67</v>
      </c>
      <c r="C291" s="1272" t="s">
        <v>1107</v>
      </c>
      <c r="D291" s="1274" t="s">
        <v>1060</v>
      </c>
      <c r="E291" s="1271" t="s">
        <v>55</v>
      </c>
      <c r="F291" s="1293">
        <v>27</v>
      </c>
      <c r="G291" s="1283">
        <v>39.49</v>
      </c>
      <c r="H291" s="1277">
        <v>49.362500000000004</v>
      </c>
      <c r="I291" s="1277">
        <v>1066.23</v>
      </c>
      <c r="J291" s="1277">
        <v>1332.7875000000001</v>
      </c>
      <c r="K291" s="1278">
        <f t="shared" si="8"/>
        <v>1.7485232756135448E-4</v>
      </c>
      <c r="L291" s="1278">
        <f t="shared" si="9"/>
        <v>0.98128421545902167</v>
      </c>
      <c r="M291" s="1279" t="s">
        <v>2319</v>
      </c>
    </row>
    <row r="292" spans="1:15">
      <c r="A292" s="1271">
        <v>11509</v>
      </c>
      <c r="B292" s="1272" t="s">
        <v>67</v>
      </c>
      <c r="C292" s="1272" t="s">
        <v>1243</v>
      </c>
      <c r="D292" s="1274" t="s">
        <v>1244</v>
      </c>
      <c r="E292" s="1271" t="s">
        <v>170</v>
      </c>
      <c r="F292" s="1293">
        <v>25</v>
      </c>
      <c r="G292" s="1283">
        <v>42.62</v>
      </c>
      <c r="H292" s="1277">
        <v>53.274999999999999</v>
      </c>
      <c r="I292" s="1277">
        <v>1065.5</v>
      </c>
      <c r="J292" s="1277">
        <v>1331.875</v>
      </c>
      <c r="K292" s="1278">
        <f t="shared" si="8"/>
        <v>1.7473261399193719E-4</v>
      </c>
      <c r="L292" s="1278">
        <f t="shared" si="9"/>
        <v>0.98145894807301359</v>
      </c>
      <c r="M292" s="1279" t="s">
        <v>2319</v>
      </c>
    </row>
    <row r="293" spans="1:15" ht="29.25" customHeight="1">
      <c r="A293" s="1271">
        <v>7669</v>
      </c>
      <c r="B293" s="1272" t="s">
        <v>67</v>
      </c>
      <c r="C293" s="1271" t="s">
        <v>1338</v>
      </c>
      <c r="D293" s="1274" t="s">
        <v>1339</v>
      </c>
      <c r="E293" s="1281" t="s">
        <v>55</v>
      </c>
      <c r="F293" s="1282">
        <v>20</v>
      </c>
      <c r="G293" s="1304">
        <v>51.25</v>
      </c>
      <c r="H293" s="1304">
        <v>64.0625</v>
      </c>
      <c r="I293" s="1304">
        <v>1025</v>
      </c>
      <c r="J293" s="1304">
        <v>1281.25</v>
      </c>
      <c r="K293" s="1278">
        <f t="shared" si="8"/>
        <v>1.6809097075714275E-4</v>
      </c>
      <c r="L293" s="1278">
        <f t="shared" si="9"/>
        <v>0.98162703904377069</v>
      </c>
      <c r="M293" s="1279" t="s">
        <v>2319</v>
      </c>
    </row>
    <row r="294" spans="1:15" ht="42.75">
      <c r="A294" s="1271">
        <v>92358</v>
      </c>
      <c r="B294" s="1272" t="s">
        <v>26</v>
      </c>
      <c r="C294" s="1272" t="s">
        <v>670</v>
      </c>
      <c r="D294" s="1280" t="s">
        <v>671</v>
      </c>
      <c r="E294" s="1281" t="s">
        <v>55</v>
      </c>
      <c r="F294" s="1282">
        <v>4</v>
      </c>
      <c r="G294" s="1283">
        <v>253.72</v>
      </c>
      <c r="H294" s="1277">
        <v>317.14999999999998</v>
      </c>
      <c r="I294" s="1277">
        <v>1014.88</v>
      </c>
      <c r="J294" s="1277">
        <v>1268.5999999999999</v>
      </c>
      <c r="K294" s="1278">
        <f t="shared" si="8"/>
        <v>1.6643137990439904E-4</v>
      </c>
      <c r="L294" s="1278">
        <f t="shared" si="9"/>
        <v>0.98179347042367504</v>
      </c>
      <c r="M294" s="1279" t="s">
        <v>2319</v>
      </c>
    </row>
    <row r="295" spans="1:15" ht="27.75" customHeight="1">
      <c r="A295" s="1271">
        <v>2228</v>
      </c>
      <c r="B295" s="1272" t="s">
        <v>67</v>
      </c>
      <c r="C295" s="1272" t="s">
        <v>1309</v>
      </c>
      <c r="D295" s="1274" t="s">
        <v>1310</v>
      </c>
      <c r="E295" s="1281" t="s">
        <v>246</v>
      </c>
      <c r="F295" s="1282">
        <v>70</v>
      </c>
      <c r="G295" s="1300">
        <v>14.04</v>
      </c>
      <c r="H295" s="1277">
        <v>17.549999999999997</v>
      </c>
      <c r="I295" s="1277">
        <v>982.8</v>
      </c>
      <c r="J295" s="1277">
        <v>1228.4999999999998</v>
      </c>
      <c r="K295" s="1278">
        <f t="shared" si="8"/>
        <v>1.6117054249767791E-4</v>
      </c>
      <c r="L295" s="1278">
        <f t="shared" si="9"/>
        <v>0.98195464096617269</v>
      </c>
      <c r="M295" s="1279" t="s">
        <v>2319</v>
      </c>
      <c r="N295" s="1206"/>
      <c r="O295" s="1206"/>
    </row>
    <row r="296" spans="1:15" ht="27.6" customHeight="1">
      <c r="A296" s="1271">
        <v>96985</v>
      </c>
      <c r="B296" s="1272" t="s">
        <v>26</v>
      </c>
      <c r="C296" s="1272" t="s">
        <v>977</v>
      </c>
      <c r="D296" s="1274" t="s">
        <v>978</v>
      </c>
      <c r="E296" s="1271" t="s">
        <v>55</v>
      </c>
      <c r="F296" s="1293">
        <v>14</v>
      </c>
      <c r="G296" s="1283">
        <v>69.180000000000007</v>
      </c>
      <c r="H296" s="1277">
        <v>86.475000000000009</v>
      </c>
      <c r="I296" s="1277">
        <v>968.5200000000001</v>
      </c>
      <c r="J296" s="1277">
        <v>1210.6500000000001</v>
      </c>
      <c r="K296" s="1278">
        <f t="shared" si="8"/>
        <v>1.5882874829044674E-4</v>
      </c>
      <c r="L296" s="1278">
        <f t="shared" si="9"/>
        <v>0.98211346971446312</v>
      </c>
      <c r="M296" s="1279" t="s">
        <v>2319</v>
      </c>
    </row>
    <row r="297" spans="1:15" ht="24" customHeight="1">
      <c r="A297" s="1271">
        <v>9689</v>
      </c>
      <c r="B297" s="1272" t="s">
        <v>67</v>
      </c>
      <c r="C297" s="1272" t="s">
        <v>888</v>
      </c>
      <c r="D297" s="1274" t="s">
        <v>889</v>
      </c>
      <c r="E297" s="1271" t="s">
        <v>55</v>
      </c>
      <c r="F297" s="1293">
        <v>1</v>
      </c>
      <c r="G297" s="1283">
        <v>967.99</v>
      </c>
      <c r="H297" s="1277">
        <v>1209.9875</v>
      </c>
      <c r="I297" s="1277">
        <v>967.99</v>
      </c>
      <c r="J297" s="1277">
        <v>1209.9875</v>
      </c>
      <c r="K297" s="1278">
        <f t="shared" si="8"/>
        <v>1.5874183295922596E-4</v>
      </c>
      <c r="L297" s="1278">
        <f t="shared" si="9"/>
        <v>0.98227221154742239</v>
      </c>
      <c r="M297" s="1279" t="s">
        <v>2319</v>
      </c>
    </row>
    <row r="298" spans="1:15" ht="58.5">
      <c r="A298" s="1271">
        <v>92023</v>
      </c>
      <c r="B298" s="1272" t="s">
        <v>26</v>
      </c>
      <c r="C298" s="1271" t="s">
        <v>1014</v>
      </c>
      <c r="D298" s="1301" t="s">
        <v>1015</v>
      </c>
      <c r="E298" s="1271" t="s">
        <v>55</v>
      </c>
      <c r="F298" s="1293">
        <v>20</v>
      </c>
      <c r="G298" s="1283">
        <v>47.81</v>
      </c>
      <c r="H298" s="1277">
        <v>59.762500000000003</v>
      </c>
      <c r="I298" s="1277">
        <v>956.2</v>
      </c>
      <c r="J298" s="1277">
        <v>1195.25</v>
      </c>
      <c r="K298" s="1278">
        <f t="shared" si="8"/>
        <v>1.5680837681754137E-4</v>
      </c>
      <c r="L298" s="1278">
        <f t="shared" si="9"/>
        <v>0.98242901992423992</v>
      </c>
      <c r="M298" s="1279" t="s">
        <v>2319</v>
      </c>
    </row>
    <row r="299" spans="1:15" ht="28.5">
      <c r="A299" s="1271">
        <v>671</v>
      </c>
      <c r="B299" s="1272" t="s">
        <v>67</v>
      </c>
      <c r="C299" s="1271" t="s">
        <v>1031</v>
      </c>
      <c r="D299" s="1274" t="s">
        <v>1032</v>
      </c>
      <c r="E299" s="1271" t="s">
        <v>55</v>
      </c>
      <c r="F299" s="1293">
        <v>120</v>
      </c>
      <c r="G299" s="1303">
        <v>7.71</v>
      </c>
      <c r="H299" s="1277">
        <v>9.6374999999999993</v>
      </c>
      <c r="I299" s="1277">
        <v>925.2</v>
      </c>
      <c r="J299" s="1277">
        <v>1156.5</v>
      </c>
      <c r="K299" s="1278">
        <f t="shared" si="8"/>
        <v>1.5172464989708144E-4</v>
      </c>
      <c r="L299" s="1278">
        <f t="shared" si="9"/>
        <v>0.98258074457413702</v>
      </c>
      <c r="M299" s="1279" t="s">
        <v>2319</v>
      </c>
    </row>
    <row r="300" spans="1:15" ht="23.45" customHeight="1">
      <c r="A300" s="1271">
        <v>359</v>
      </c>
      <c r="B300" s="1272" t="s">
        <v>67</v>
      </c>
      <c r="C300" s="1272" t="s">
        <v>800</v>
      </c>
      <c r="D300" s="1274" t="s">
        <v>801</v>
      </c>
      <c r="E300" s="1271" t="s">
        <v>246</v>
      </c>
      <c r="F300" s="1293">
        <v>18</v>
      </c>
      <c r="G300" s="1283">
        <v>51.36</v>
      </c>
      <c r="H300" s="1277">
        <v>64.2</v>
      </c>
      <c r="I300" s="1277">
        <v>924.48</v>
      </c>
      <c r="J300" s="1277">
        <v>1155.6000000000001</v>
      </c>
      <c r="K300" s="1278">
        <f t="shared" si="8"/>
        <v>1.51606576239574E-4</v>
      </c>
      <c r="L300" s="1278">
        <f t="shared" si="9"/>
        <v>0.9827323511503766</v>
      </c>
      <c r="M300" s="1279" t="s">
        <v>2319</v>
      </c>
    </row>
    <row r="301" spans="1:15">
      <c r="A301" s="1271">
        <v>7669</v>
      </c>
      <c r="B301" s="1272" t="s">
        <v>67</v>
      </c>
      <c r="C301" s="1271" t="s">
        <v>1330</v>
      </c>
      <c r="D301" s="1274" t="s">
        <v>1331</v>
      </c>
      <c r="E301" s="1281" t="s">
        <v>55</v>
      </c>
      <c r="F301" s="1282">
        <v>18</v>
      </c>
      <c r="G301" s="1304">
        <v>51.25</v>
      </c>
      <c r="H301" s="1304">
        <v>64.0625</v>
      </c>
      <c r="I301" s="1304">
        <v>922.5</v>
      </c>
      <c r="J301" s="1304">
        <v>1153.125</v>
      </c>
      <c r="K301" s="1278">
        <f t="shared" si="8"/>
        <v>1.5128187368142849E-4</v>
      </c>
      <c r="L301" s="1278">
        <f t="shared" si="9"/>
        <v>0.98288363302405801</v>
      </c>
      <c r="M301" s="1279" t="s">
        <v>2319</v>
      </c>
    </row>
    <row r="302" spans="1:15">
      <c r="A302" s="1271">
        <v>12498</v>
      </c>
      <c r="B302" s="1272" t="s">
        <v>67</v>
      </c>
      <c r="C302" s="1272" t="s">
        <v>1154</v>
      </c>
      <c r="D302" s="1274" t="s">
        <v>689</v>
      </c>
      <c r="E302" s="1271" t="s">
        <v>55</v>
      </c>
      <c r="F302" s="1293">
        <v>12</v>
      </c>
      <c r="G302" s="1283">
        <v>75.52</v>
      </c>
      <c r="H302" s="1277">
        <v>94.399999999999991</v>
      </c>
      <c r="I302" s="1277">
        <v>906.24</v>
      </c>
      <c r="J302" s="1277">
        <v>1132.8</v>
      </c>
      <c r="K302" s="1278">
        <f t="shared" si="8"/>
        <v>1.4861537691605175E-4</v>
      </c>
      <c r="L302" s="1278">
        <f t="shared" si="9"/>
        <v>0.98303224840097403</v>
      </c>
      <c r="M302" s="1279" t="s">
        <v>2319</v>
      </c>
    </row>
    <row r="303" spans="1:15" ht="26.25" customHeight="1">
      <c r="A303" s="1271">
        <v>89450</v>
      </c>
      <c r="B303" s="1272" t="s">
        <v>26</v>
      </c>
      <c r="C303" s="1272" t="s">
        <v>527</v>
      </c>
      <c r="D303" s="1294" t="s">
        <v>528</v>
      </c>
      <c r="E303" s="1271" t="s">
        <v>246</v>
      </c>
      <c r="F303" s="1275">
        <v>27.62</v>
      </c>
      <c r="G303" s="1283">
        <v>32.75</v>
      </c>
      <c r="H303" s="1277">
        <v>40.9375</v>
      </c>
      <c r="I303" s="1277">
        <v>904.55500000000006</v>
      </c>
      <c r="J303" s="1277">
        <v>1130.6937500000001</v>
      </c>
      <c r="K303" s="1278">
        <f t="shared" si="8"/>
        <v>1.4833905175924613E-4</v>
      </c>
      <c r="L303" s="1278">
        <f t="shared" si="9"/>
        <v>0.98318058745273329</v>
      </c>
      <c r="M303" s="1279" t="s">
        <v>2319</v>
      </c>
    </row>
    <row r="304" spans="1:15" ht="28.5">
      <c r="A304" s="1295">
        <v>8896</v>
      </c>
      <c r="B304" s="1307" t="s">
        <v>67</v>
      </c>
      <c r="C304" s="1272" t="s">
        <v>1185</v>
      </c>
      <c r="D304" s="1308" t="s">
        <v>1080</v>
      </c>
      <c r="E304" s="1295" t="s">
        <v>55</v>
      </c>
      <c r="F304" s="1275">
        <v>21</v>
      </c>
      <c r="G304" s="1303">
        <v>42.34</v>
      </c>
      <c r="H304" s="1277">
        <v>52.925000000000004</v>
      </c>
      <c r="I304" s="1284">
        <v>889.1400000000001</v>
      </c>
      <c r="J304" s="1284">
        <v>1111.4250000000002</v>
      </c>
      <c r="K304" s="1278">
        <f t="shared" si="8"/>
        <v>1.4581112755024969E-4</v>
      </c>
      <c r="L304" s="1278">
        <f t="shared" si="9"/>
        <v>0.98332639858028359</v>
      </c>
      <c r="M304" s="1279" t="s">
        <v>2319</v>
      </c>
      <c r="N304" s="1309"/>
      <c r="O304" s="1309"/>
    </row>
    <row r="305" spans="1:15" ht="26.25" customHeight="1">
      <c r="A305" s="1271">
        <v>92765</v>
      </c>
      <c r="B305" s="1272" t="s">
        <v>26</v>
      </c>
      <c r="C305" s="1272" t="s">
        <v>206</v>
      </c>
      <c r="D305" s="1274" t="s">
        <v>207</v>
      </c>
      <c r="E305" s="1271" t="s">
        <v>170</v>
      </c>
      <c r="F305" s="1293">
        <v>71</v>
      </c>
      <c r="G305" s="1283">
        <v>12.46</v>
      </c>
      <c r="H305" s="1277">
        <v>15.575000000000001</v>
      </c>
      <c r="I305" s="1277">
        <v>884.66000000000008</v>
      </c>
      <c r="J305" s="1277">
        <v>1105.825</v>
      </c>
      <c r="K305" s="1278">
        <f t="shared" si="8"/>
        <v>1.4507644701464771E-4</v>
      </c>
      <c r="L305" s="1278">
        <f t="shared" si="9"/>
        <v>0.98347147502729826</v>
      </c>
      <c r="M305" s="1279" t="s">
        <v>2319</v>
      </c>
    </row>
    <row r="306" spans="1:15" ht="24.75" customHeight="1">
      <c r="A306" s="1271">
        <v>7350</v>
      </c>
      <c r="B306" s="1272" t="s">
        <v>67</v>
      </c>
      <c r="C306" s="1272" t="s">
        <v>621</v>
      </c>
      <c r="D306" s="1280" t="s">
        <v>622</v>
      </c>
      <c r="E306" s="1281" t="s">
        <v>55</v>
      </c>
      <c r="F306" s="1282">
        <v>2</v>
      </c>
      <c r="G306" s="1283">
        <v>438.94</v>
      </c>
      <c r="H306" s="1277">
        <v>548.67499999999995</v>
      </c>
      <c r="I306" s="1277">
        <v>877.88</v>
      </c>
      <c r="J306" s="1277">
        <v>1097.3499999999999</v>
      </c>
      <c r="K306" s="1278">
        <f t="shared" si="8"/>
        <v>1.4396458673978583E-4</v>
      </c>
      <c r="L306" s="1278">
        <f t="shared" si="9"/>
        <v>0.98361543961403808</v>
      </c>
      <c r="M306" s="1279" t="s">
        <v>2319</v>
      </c>
    </row>
    <row r="307" spans="1:15" ht="25.5" customHeight="1">
      <c r="A307" s="1271">
        <v>10694</v>
      </c>
      <c r="B307" s="1272" t="s">
        <v>67</v>
      </c>
      <c r="C307" s="1272" t="s">
        <v>955</v>
      </c>
      <c r="D307" s="1274" t="s">
        <v>956</v>
      </c>
      <c r="E307" s="1271" t="s">
        <v>55</v>
      </c>
      <c r="F307" s="1293">
        <v>30</v>
      </c>
      <c r="G307" s="1283">
        <v>28.91</v>
      </c>
      <c r="H307" s="1277">
        <v>36.137500000000003</v>
      </c>
      <c r="I307" s="1277">
        <v>867.3</v>
      </c>
      <c r="J307" s="1277">
        <v>1084.125</v>
      </c>
      <c r="K307" s="1278">
        <f t="shared" si="8"/>
        <v>1.4222955993919016E-4</v>
      </c>
      <c r="L307" s="1278">
        <f t="shared" si="9"/>
        <v>0.98375766917397722</v>
      </c>
      <c r="M307" s="1279" t="s">
        <v>2319</v>
      </c>
    </row>
    <row r="308" spans="1:15" ht="24" customHeight="1">
      <c r="A308" s="1295">
        <v>1360</v>
      </c>
      <c r="B308" s="1295" t="s">
        <v>67</v>
      </c>
      <c r="C308" s="1310" t="s">
        <v>1252</v>
      </c>
      <c r="D308" s="1274" t="s">
        <v>1253</v>
      </c>
      <c r="E308" s="1271" t="s">
        <v>246</v>
      </c>
      <c r="F308" s="1293">
        <v>15</v>
      </c>
      <c r="G308" s="1283">
        <v>57.79</v>
      </c>
      <c r="H308" s="1277">
        <v>72.237499999999997</v>
      </c>
      <c r="I308" s="1311">
        <v>866.85</v>
      </c>
      <c r="J308" s="1311">
        <v>1083.5625</v>
      </c>
      <c r="K308" s="1278">
        <f t="shared" si="8"/>
        <v>1.4215576390324801E-4</v>
      </c>
      <c r="L308" s="1278">
        <f t="shared" si="9"/>
        <v>0.98389982493788042</v>
      </c>
      <c r="M308" s="1279" t="s">
        <v>2319</v>
      </c>
    </row>
    <row r="309" spans="1:15" ht="42.75">
      <c r="A309" s="1271">
        <v>9915</v>
      </c>
      <c r="B309" s="1272" t="s">
        <v>67</v>
      </c>
      <c r="C309" s="1272" t="s">
        <v>742</v>
      </c>
      <c r="D309" s="1274" t="s">
        <v>743</v>
      </c>
      <c r="E309" s="1271" t="s">
        <v>55</v>
      </c>
      <c r="F309" s="1293">
        <v>3</v>
      </c>
      <c r="G309" s="1283">
        <v>286.95999999999998</v>
      </c>
      <c r="H309" s="1277">
        <v>358.7</v>
      </c>
      <c r="I309" s="1277">
        <v>860.87999999999988</v>
      </c>
      <c r="J309" s="1277">
        <v>1076.0999999999999</v>
      </c>
      <c r="K309" s="1278">
        <f t="shared" si="8"/>
        <v>1.4117673649308201E-4</v>
      </c>
      <c r="L309" s="1278">
        <f t="shared" si="9"/>
        <v>0.98404100167437347</v>
      </c>
      <c r="M309" s="1279" t="s">
        <v>2319</v>
      </c>
    </row>
    <row r="310" spans="1:15" ht="28.5">
      <c r="A310" s="1271" t="s">
        <v>725</v>
      </c>
      <c r="B310" s="1272" t="s">
        <v>67</v>
      </c>
      <c r="C310" s="1272" t="s">
        <v>970</v>
      </c>
      <c r="D310" s="1274" t="s">
        <v>727</v>
      </c>
      <c r="E310" s="1271" t="s">
        <v>55</v>
      </c>
      <c r="F310" s="1293">
        <v>4</v>
      </c>
      <c r="G310" s="1283">
        <v>214.09</v>
      </c>
      <c r="H310" s="1277">
        <v>267.61250000000001</v>
      </c>
      <c r="I310" s="1277">
        <v>856.36</v>
      </c>
      <c r="J310" s="1277">
        <v>1070.45</v>
      </c>
      <c r="K310" s="1278">
        <f t="shared" si="8"/>
        <v>1.4043549630984075E-4</v>
      </c>
      <c r="L310" s="1278">
        <f t="shared" si="9"/>
        <v>0.98418143717068329</v>
      </c>
      <c r="M310" s="1279" t="s">
        <v>2319</v>
      </c>
    </row>
    <row r="311" spans="1:15" ht="25.9" customHeight="1">
      <c r="A311" s="1271">
        <v>2864</v>
      </c>
      <c r="B311" s="1272" t="s">
        <v>67</v>
      </c>
      <c r="C311" s="1272" t="s">
        <v>736</v>
      </c>
      <c r="D311" s="1274" t="s">
        <v>737</v>
      </c>
      <c r="E311" s="1271" t="s">
        <v>55</v>
      </c>
      <c r="F311" s="1293">
        <v>3</v>
      </c>
      <c r="G311" s="1283">
        <v>284</v>
      </c>
      <c r="H311" s="1277">
        <v>355</v>
      </c>
      <c r="I311" s="1277">
        <v>852</v>
      </c>
      <c r="J311" s="1277">
        <v>1065</v>
      </c>
      <c r="K311" s="1278">
        <f t="shared" si="8"/>
        <v>1.3972049471715672E-4</v>
      </c>
      <c r="L311" s="1278">
        <f t="shared" si="9"/>
        <v>0.9843211576654004</v>
      </c>
      <c r="M311" s="1279" t="s">
        <v>2319</v>
      </c>
    </row>
    <row r="312" spans="1:15" ht="28.5">
      <c r="A312" s="1271">
        <v>8070</v>
      </c>
      <c r="B312" s="1286" t="s">
        <v>67</v>
      </c>
      <c r="C312" s="1272" t="s">
        <v>704</v>
      </c>
      <c r="D312" s="1274" t="s">
        <v>705</v>
      </c>
      <c r="E312" s="1271" t="s">
        <v>246</v>
      </c>
      <c r="F312" s="1293">
        <v>28.799999999999997</v>
      </c>
      <c r="G312" s="1283">
        <v>29.55</v>
      </c>
      <c r="H312" s="1277">
        <v>36.9375</v>
      </c>
      <c r="I312" s="1277">
        <v>851.04</v>
      </c>
      <c r="J312" s="1277">
        <v>1063.8</v>
      </c>
      <c r="K312" s="1278">
        <f t="shared" si="8"/>
        <v>1.3956306317381342E-4</v>
      </c>
      <c r="L312" s="1278">
        <f t="shared" si="9"/>
        <v>0.98446072072857427</v>
      </c>
      <c r="M312" s="1279" t="s">
        <v>2319</v>
      </c>
    </row>
    <row r="313" spans="1:15" ht="42.75">
      <c r="A313" s="1271">
        <v>817</v>
      </c>
      <c r="B313" s="1272" t="s">
        <v>67</v>
      </c>
      <c r="C313" s="1272" t="s">
        <v>453</v>
      </c>
      <c r="D313" s="1274" t="s">
        <v>454</v>
      </c>
      <c r="E313" s="1271" t="s">
        <v>55</v>
      </c>
      <c r="F313" s="1275">
        <v>6</v>
      </c>
      <c r="G313" s="1283">
        <v>140.03</v>
      </c>
      <c r="H313" s="1277">
        <v>175.03749999999999</v>
      </c>
      <c r="I313" s="1277">
        <v>840.18000000000006</v>
      </c>
      <c r="J313" s="1277">
        <v>1050.2249999999999</v>
      </c>
      <c r="K313" s="1278">
        <f t="shared" si="8"/>
        <v>1.3778211883974263E-4</v>
      </c>
      <c r="L313" s="1278">
        <f t="shared" si="9"/>
        <v>0.98459850284741401</v>
      </c>
      <c r="M313" s="1279" t="s">
        <v>2319</v>
      </c>
    </row>
    <row r="314" spans="1:15" ht="20.45" customHeight="1">
      <c r="A314" s="1271">
        <v>11214</v>
      </c>
      <c r="B314" s="1272" t="s">
        <v>67</v>
      </c>
      <c r="C314" s="1272" t="s">
        <v>1182</v>
      </c>
      <c r="D314" s="1274" t="s">
        <v>1183</v>
      </c>
      <c r="E314" s="1271" t="s">
        <v>55</v>
      </c>
      <c r="F314" s="1293">
        <v>13</v>
      </c>
      <c r="G314" s="1283">
        <v>62.89</v>
      </c>
      <c r="H314" s="1277">
        <v>78.612499999999997</v>
      </c>
      <c r="I314" s="1277">
        <v>817.57</v>
      </c>
      <c r="J314" s="1277">
        <v>1021.9625</v>
      </c>
      <c r="K314" s="1278">
        <f t="shared" si="8"/>
        <v>1.3407427801162653E-4</v>
      </c>
      <c r="L314" s="1278">
        <f t="shared" si="9"/>
        <v>0.98473257712542561</v>
      </c>
      <c r="M314" s="1279" t="s">
        <v>2319</v>
      </c>
    </row>
    <row r="315" spans="1:15" ht="28.5">
      <c r="A315" s="1296">
        <v>12346</v>
      </c>
      <c r="B315" s="1296" t="s">
        <v>67</v>
      </c>
      <c r="C315" s="1272" t="s">
        <v>127</v>
      </c>
      <c r="D315" s="1274" t="s">
        <v>128</v>
      </c>
      <c r="E315" s="1271" t="s">
        <v>61</v>
      </c>
      <c r="F315" s="1291">
        <v>47.519999999999996</v>
      </c>
      <c r="G315" s="1292">
        <v>16.98</v>
      </c>
      <c r="H315" s="1283">
        <v>21.225000000000001</v>
      </c>
      <c r="I315" s="1277">
        <v>806.88959999999997</v>
      </c>
      <c r="J315" s="1277">
        <v>1008.612</v>
      </c>
      <c r="K315" s="1278">
        <f t="shared" si="8"/>
        <v>1.323227864954562E-4</v>
      </c>
      <c r="L315" s="1278">
        <f t="shared" si="9"/>
        <v>0.98486489991192105</v>
      </c>
      <c r="M315" s="1279" t="s">
        <v>2319</v>
      </c>
    </row>
    <row r="316" spans="1:15" ht="42.75">
      <c r="A316" s="1271" t="s">
        <v>757</v>
      </c>
      <c r="B316" s="1272" t="s">
        <v>67</v>
      </c>
      <c r="C316" s="1272" t="s">
        <v>758</v>
      </c>
      <c r="D316" s="1274" t="s">
        <v>759</v>
      </c>
      <c r="E316" s="1271" t="s">
        <v>55</v>
      </c>
      <c r="F316" s="1293">
        <v>18</v>
      </c>
      <c r="G316" s="1283">
        <v>44.1</v>
      </c>
      <c r="H316" s="1277">
        <v>55.125</v>
      </c>
      <c r="I316" s="1277">
        <v>793.80000000000007</v>
      </c>
      <c r="J316" s="1277">
        <v>992.25</v>
      </c>
      <c r="K316" s="1278">
        <f t="shared" si="8"/>
        <v>1.3017620740197065E-4</v>
      </c>
      <c r="L316" s="1278">
        <f t="shared" si="9"/>
        <v>0.98499507611932302</v>
      </c>
      <c r="M316" s="1279" t="s">
        <v>2319</v>
      </c>
    </row>
    <row r="317" spans="1:15" ht="21" customHeight="1">
      <c r="A317" s="1271">
        <v>88489</v>
      </c>
      <c r="B317" s="1272" t="s">
        <v>26</v>
      </c>
      <c r="C317" s="1302" t="s">
        <v>420</v>
      </c>
      <c r="D317" s="1280" t="s">
        <v>421</v>
      </c>
      <c r="E317" s="1281" t="s">
        <v>61</v>
      </c>
      <c r="F317" s="1282">
        <v>70.084000000000003</v>
      </c>
      <c r="G317" s="1276">
        <v>11.29</v>
      </c>
      <c r="H317" s="1277">
        <v>14.112499999999999</v>
      </c>
      <c r="I317" s="1277">
        <v>791.24835999999993</v>
      </c>
      <c r="J317" s="1277">
        <v>989.06044999999995</v>
      </c>
      <c r="K317" s="1278">
        <f t="shared" si="8"/>
        <v>1.2975776091941186E-4</v>
      </c>
      <c r="L317" s="1278">
        <f t="shared" si="9"/>
        <v>0.98512483388024241</v>
      </c>
      <c r="M317" s="1279" t="s">
        <v>2319</v>
      </c>
    </row>
    <row r="318" spans="1:15" ht="18" customHeight="1">
      <c r="A318" s="1271">
        <v>89448</v>
      </c>
      <c r="B318" s="1272" t="s">
        <v>26</v>
      </c>
      <c r="C318" s="1272" t="s">
        <v>523</v>
      </c>
      <c r="D318" s="1294" t="s">
        <v>524</v>
      </c>
      <c r="E318" s="1271" t="s">
        <v>246</v>
      </c>
      <c r="F318" s="1275">
        <v>42.68</v>
      </c>
      <c r="G318" s="1283">
        <v>18.41</v>
      </c>
      <c r="H318" s="1277">
        <v>23.012499999999999</v>
      </c>
      <c r="I318" s="1277">
        <v>785.73879999999997</v>
      </c>
      <c r="J318" s="1277">
        <v>982.17349999999999</v>
      </c>
      <c r="K318" s="1278">
        <f t="shared" si="8"/>
        <v>1.2885424161322188E-4</v>
      </c>
      <c r="L318" s="1278">
        <f t="shared" si="9"/>
        <v>0.98525368812185565</v>
      </c>
      <c r="M318" s="1279" t="s">
        <v>2319</v>
      </c>
    </row>
    <row r="319" spans="1:15" ht="17.45" customHeight="1">
      <c r="A319" s="1271">
        <v>91959</v>
      </c>
      <c r="B319" s="1272" t="s">
        <v>26</v>
      </c>
      <c r="C319" s="1271" t="s">
        <v>1016</v>
      </c>
      <c r="D319" s="1301" t="s">
        <v>1017</v>
      </c>
      <c r="E319" s="1271" t="s">
        <v>55</v>
      </c>
      <c r="F319" s="1293">
        <v>18</v>
      </c>
      <c r="G319" s="1283">
        <v>42.9</v>
      </c>
      <c r="H319" s="1277">
        <v>53.625</v>
      </c>
      <c r="I319" s="1277">
        <v>772.19999999999993</v>
      </c>
      <c r="J319" s="1277">
        <v>965.25</v>
      </c>
      <c r="K319" s="1278">
        <f t="shared" si="8"/>
        <v>1.2663399767674695E-4</v>
      </c>
      <c r="L319" s="1278">
        <f t="shared" si="9"/>
        <v>0.98538032211953241</v>
      </c>
      <c r="M319" s="1279" t="s">
        <v>2319</v>
      </c>
    </row>
    <row r="320" spans="1:15">
      <c r="A320" s="1271">
        <v>2437</v>
      </c>
      <c r="B320" s="1272" t="s">
        <v>67</v>
      </c>
      <c r="C320" s="1272" t="s">
        <v>1286</v>
      </c>
      <c r="D320" s="1274" t="s">
        <v>1287</v>
      </c>
      <c r="E320" s="1281" t="s">
        <v>55</v>
      </c>
      <c r="F320" s="1282">
        <v>1</v>
      </c>
      <c r="G320" s="1300">
        <v>770.94</v>
      </c>
      <c r="H320" s="1277">
        <v>963.67500000000007</v>
      </c>
      <c r="I320" s="1277">
        <v>770.94</v>
      </c>
      <c r="J320" s="1277">
        <v>963.67500000000007</v>
      </c>
      <c r="K320" s="1278">
        <f t="shared" si="8"/>
        <v>1.2642736877610893E-4</v>
      </c>
      <c r="L320" s="1278">
        <f t="shared" si="9"/>
        <v>0.98550674948830852</v>
      </c>
      <c r="M320" s="1279" t="s">
        <v>2319</v>
      </c>
      <c r="N320" s="1206"/>
      <c r="O320" s="1206"/>
    </row>
    <row r="321" spans="1:14" ht="43.5">
      <c r="A321" s="1271">
        <v>91961</v>
      </c>
      <c r="B321" s="1272" t="s">
        <v>26</v>
      </c>
      <c r="C321" s="1271" t="s">
        <v>1012</v>
      </c>
      <c r="D321" s="1301" t="s">
        <v>1013</v>
      </c>
      <c r="E321" s="1271" t="s">
        <v>55</v>
      </c>
      <c r="F321" s="1293">
        <v>14</v>
      </c>
      <c r="G321" s="1283">
        <v>55.01</v>
      </c>
      <c r="H321" s="1277">
        <v>68.762500000000003</v>
      </c>
      <c r="I321" s="1277">
        <v>770.14</v>
      </c>
      <c r="J321" s="1277">
        <v>962.67500000000007</v>
      </c>
      <c r="K321" s="1278">
        <f t="shared" si="8"/>
        <v>1.2629617582332286E-4</v>
      </c>
      <c r="L321" s="1278">
        <f t="shared" si="9"/>
        <v>0.98563304566413179</v>
      </c>
      <c r="M321" s="1279" t="s">
        <v>2319</v>
      </c>
    </row>
    <row r="322" spans="1:14" ht="28.5">
      <c r="A322" s="1271">
        <v>2066</v>
      </c>
      <c r="B322" s="1272" t="s">
        <v>67</v>
      </c>
      <c r="C322" s="1272" t="s">
        <v>628</v>
      </c>
      <c r="D322" s="1280" t="s">
        <v>629</v>
      </c>
      <c r="E322" s="1281" t="s">
        <v>55</v>
      </c>
      <c r="F322" s="1282">
        <v>14</v>
      </c>
      <c r="G322" s="1283">
        <v>54.53</v>
      </c>
      <c r="H322" s="1277">
        <v>68.162499999999994</v>
      </c>
      <c r="I322" s="1277">
        <v>763.42000000000007</v>
      </c>
      <c r="J322" s="1277">
        <v>954.27499999999986</v>
      </c>
      <c r="K322" s="1278">
        <f t="shared" ref="K322:K385" si="10">J322/$N$1</f>
        <v>1.2519415501991991E-4</v>
      </c>
      <c r="L322" s="1278">
        <f t="shared" si="9"/>
        <v>0.98575823981915167</v>
      </c>
      <c r="M322" s="1279" t="s">
        <v>2319</v>
      </c>
    </row>
    <row r="323" spans="1:14" ht="42.75">
      <c r="A323" s="1271">
        <v>824</v>
      </c>
      <c r="B323" s="1272" t="s">
        <v>67</v>
      </c>
      <c r="C323" s="1272" t="s">
        <v>949</v>
      </c>
      <c r="D323" s="1274" t="s">
        <v>950</v>
      </c>
      <c r="E323" s="1271" t="s">
        <v>55</v>
      </c>
      <c r="F323" s="1293">
        <v>1</v>
      </c>
      <c r="G323" s="1283">
        <v>758.19</v>
      </c>
      <c r="H323" s="1277">
        <v>947.73750000000007</v>
      </c>
      <c r="I323" s="1277">
        <v>758.19</v>
      </c>
      <c r="J323" s="1277">
        <v>947.73750000000007</v>
      </c>
      <c r="K323" s="1278">
        <f t="shared" si="10"/>
        <v>1.2433648109108105E-4</v>
      </c>
      <c r="L323" s="1278">
        <f t="shared" si="9"/>
        <v>0.98588257630024279</v>
      </c>
      <c r="M323" s="1279" t="s">
        <v>2319</v>
      </c>
      <c r="N323" s="1204"/>
    </row>
    <row r="324" spans="1:14">
      <c r="A324" s="1271">
        <v>12498</v>
      </c>
      <c r="B324" s="1272" t="s">
        <v>67</v>
      </c>
      <c r="C324" s="1272" t="s">
        <v>688</v>
      </c>
      <c r="D324" s="1280" t="s">
        <v>689</v>
      </c>
      <c r="E324" s="1281" t="s">
        <v>96</v>
      </c>
      <c r="F324" s="1282">
        <v>10</v>
      </c>
      <c r="G324" s="1283">
        <v>75.52</v>
      </c>
      <c r="H324" s="1277">
        <v>94.399999999999991</v>
      </c>
      <c r="I324" s="1277">
        <v>755.19999999999993</v>
      </c>
      <c r="J324" s="1277">
        <v>943.99999999999989</v>
      </c>
      <c r="K324" s="1278">
        <f t="shared" si="10"/>
        <v>1.2384614743004313E-4</v>
      </c>
      <c r="L324" s="1278">
        <f t="shared" ref="L324:L387" si="11">K324+L323</f>
        <v>0.98600642244767278</v>
      </c>
      <c r="M324" s="1279" t="s">
        <v>2319</v>
      </c>
    </row>
    <row r="325" spans="1:14" ht="42.75">
      <c r="A325" s="1271">
        <v>11397</v>
      </c>
      <c r="B325" s="1272" t="s">
        <v>67</v>
      </c>
      <c r="C325" s="1272" t="s">
        <v>72</v>
      </c>
      <c r="D325" s="1294" t="s">
        <v>73</v>
      </c>
      <c r="E325" s="1271" t="s">
        <v>55</v>
      </c>
      <c r="F325" s="1275">
        <v>1</v>
      </c>
      <c r="G325" s="1283">
        <v>750</v>
      </c>
      <c r="H325" s="1277">
        <v>937.5</v>
      </c>
      <c r="I325" s="1277">
        <v>750</v>
      </c>
      <c r="J325" s="1277">
        <v>937.5</v>
      </c>
      <c r="K325" s="1278">
        <f t="shared" si="10"/>
        <v>1.2299339323693372E-4</v>
      </c>
      <c r="L325" s="1278">
        <f t="shared" si="11"/>
        <v>0.98612941584090974</v>
      </c>
      <c r="M325" s="1279" t="s">
        <v>2319</v>
      </c>
    </row>
    <row r="326" spans="1:14">
      <c r="A326" s="1271">
        <v>12578</v>
      </c>
      <c r="B326" s="1272" t="s">
        <v>67</v>
      </c>
      <c r="C326" s="1272" t="s">
        <v>850</v>
      </c>
      <c r="D326" s="1274" t="s">
        <v>851</v>
      </c>
      <c r="E326" s="1271" t="s">
        <v>55</v>
      </c>
      <c r="F326" s="1293">
        <v>68</v>
      </c>
      <c r="G326" s="1283">
        <v>10.9</v>
      </c>
      <c r="H326" s="1277">
        <v>13.625</v>
      </c>
      <c r="I326" s="1277">
        <v>741.2</v>
      </c>
      <c r="J326" s="1277">
        <v>926.5</v>
      </c>
      <c r="K326" s="1278">
        <f t="shared" si="10"/>
        <v>1.2155027075628703E-4</v>
      </c>
      <c r="L326" s="1278">
        <f t="shared" si="11"/>
        <v>0.98625096611166607</v>
      </c>
      <c r="M326" s="1279" t="s">
        <v>2319</v>
      </c>
    </row>
    <row r="327" spans="1:14" ht="42.75">
      <c r="A327" s="1271">
        <v>91873</v>
      </c>
      <c r="B327" s="1272" t="s">
        <v>26</v>
      </c>
      <c r="C327" s="1272" t="s">
        <v>1125</v>
      </c>
      <c r="D327" s="1274" t="s">
        <v>1124</v>
      </c>
      <c r="E327" s="1271" t="s">
        <v>246</v>
      </c>
      <c r="F327" s="1293">
        <v>36</v>
      </c>
      <c r="G327" s="1283">
        <v>20.56</v>
      </c>
      <c r="H327" s="1277">
        <v>25.7</v>
      </c>
      <c r="I327" s="1277">
        <v>740.16</v>
      </c>
      <c r="J327" s="1277">
        <v>925.19999999999993</v>
      </c>
      <c r="K327" s="1278">
        <f t="shared" si="10"/>
        <v>1.2137971991766515E-4</v>
      </c>
      <c r="L327" s="1278">
        <f t="shared" si="11"/>
        <v>0.98637234583158373</v>
      </c>
      <c r="M327" s="1279" t="s">
        <v>2319</v>
      </c>
    </row>
    <row r="328" spans="1:14" ht="19.899999999999999" customHeight="1">
      <c r="A328" s="1271">
        <v>11132</v>
      </c>
      <c r="B328" s="1272" t="s">
        <v>67</v>
      </c>
      <c r="C328" s="1272" t="s">
        <v>961</v>
      </c>
      <c r="D328" s="1274" t="s">
        <v>962</v>
      </c>
      <c r="E328" s="1271" t="s">
        <v>55</v>
      </c>
      <c r="F328" s="1293">
        <v>308</v>
      </c>
      <c r="G328" s="1283">
        <v>2.38</v>
      </c>
      <c r="H328" s="1277">
        <v>2.9749999999999996</v>
      </c>
      <c r="I328" s="1277">
        <v>733.04</v>
      </c>
      <c r="J328" s="1277">
        <v>916.29999999999984</v>
      </c>
      <c r="K328" s="1278">
        <f t="shared" si="10"/>
        <v>1.2021210263786917E-4</v>
      </c>
      <c r="L328" s="1278">
        <f t="shared" si="11"/>
        <v>0.98649255793422164</v>
      </c>
      <c r="M328" s="1279" t="s">
        <v>2319</v>
      </c>
    </row>
    <row r="329" spans="1:14" ht="28.5">
      <c r="A329" s="1271">
        <v>88248</v>
      </c>
      <c r="B329" s="1272" t="s">
        <v>26</v>
      </c>
      <c r="C329" s="1299" t="s">
        <v>443</v>
      </c>
      <c r="D329" s="1280" t="s">
        <v>444</v>
      </c>
      <c r="E329" s="1281" t="s">
        <v>40</v>
      </c>
      <c r="F329" s="1288">
        <v>40</v>
      </c>
      <c r="G329" s="1289">
        <v>18.25</v>
      </c>
      <c r="H329" s="1290">
        <v>22.8125</v>
      </c>
      <c r="I329" s="1290">
        <v>730</v>
      </c>
      <c r="J329" s="1290">
        <v>912.5</v>
      </c>
      <c r="K329" s="1278">
        <f t="shared" si="10"/>
        <v>1.1971356941728216E-4</v>
      </c>
      <c r="L329" s="1278">
        <f t="shared" si="11"/>
        <v>0.98661227150363895</v>
      </c>
      <c r="M329" s="1279" t="s">
        <v>2319</v>
      </c>
    </row>
    <row r="330" spans="1:14" ht="21" customHeight="1">
      <c r="A330" s="1285">
        <v>89724</v>
      </c>
      <c r="B330" s="1286" t="s">
        <v>26</v>
      </c>
      <c r="C330" s="1272" t="s">
        <v>544</v>
      </c>
      <c r="D330" s="1294" t="s">
        <v>545</v>
      </c>
      <c r="E330" s="1271" t="s">
        <v>96</v>
      </c>
      <c r="F330" s="1275">
        <v>77</v>
      </c>
      <c r="G330" s="1283">
        <v>9.4</v>
      </c>
      <c r="H330" s="1277">
        <v>11.75</v>
      </c>
      <c r="I330" s="1277">
        <v>723.80000000000007</v>
      </c>
      <c r="J330" s="1277">
        <v>904.75</v>
      </c>
      <c r="K330" s="1278">
        <f t="shared" si="10"/>
        <v>1.1869682403319017E-4</v>
      </c>
      <c r="L330" s="1278">
        <f t="shared" si="11"/>
        <v>0.98673096832767215</v>
      </c>
      <c r="M330" s="1279" t="s">
        <v>2319</v>
      </c>
    </row>
    <row r="331" spans="1:14" ht="19.149999999999999" customHeight="1">
      <c r="A331" s="1271">
        <v>9686</v>
      </c>
      <c r="B331" s="1286" t="s">
        <v>67</v>
      </c>
      <c r="C331" s="1272" t="s">
        <v>702</v>
      </c>
      <c r="D331" s="1274" t="s">
        <v>703</v>
      </c>
      <c r="E331" s="1271" t="s">
        <v>55</v>
      </c>
      <c r="F331" s="1293">
        <v>1</v>
      </c>
      <c r="G331" s="1283">
        <v>721.99</v>
      </c>
      <c r="H331" s="1277">
        <v>902.48749999999995</v>
      </c>
      <c r="I331" s="1277">
        <v>721.99</v>
      </c>
      <c r="J331" s="1277">
        <v>902.48749999999995</v>
      </c>
      <c r="K331" s="1278">
        <f t="shared" si="10"/>
        <v>1.183999999775117E-4</v>
      </c>
      <c r="L331" s="1278">
        <f t="shared" si="11"/>
        <v>0.98684936832764969</v>
      </c>
      <c r="M331" s="1279" t="s">
        <v>2319</v>
      </c>
    </row>
    <row r="332" spans="1:14">
      <c r="A332" s="1271">
        <v>10908</v>
      </c>
      <c r="B332" s="1272" t="s">
        <v>67</v>
      </c>
      <c r="C332" s="1272" t="s">
        <v>965</v>
      </c>
      <c r="D332" s="1274" t="s">
        <v>966</v>
      </c>
      <c r="E332" s="1271" t="s">
        <v>55</v>
      </c>
      <c r="F332" s="1293">
        <v>14</v>
      </c>
      <c r="G332" s="1283">
        <v>51.24</v>
      </c>
      <c r="H332" s="1277">
        <v>64.05</v>
      </c>
      <c r="I332" s="1277">
        <v>717.36</v>
      </c>
      <c r="J332" s="1277">
        <v>896.69999999999993</v>
      </c>
      <c r="K332" s="1278">
        <f t="shared" si="10"/>
        <v>1.1764072076326237E-4</v>
      </c>
      <c r="L332" s="1278">
        <f t="shared" si="11"/>
        <v>0.98696700904841295</v>
      </c>
      <c r="M332" s="1279" t="s">
        <v>2319</v>
      </c>
    </row>
    <row r="333" spans="1:14" ht="17.45" customHeight="1">
      <c r="A333" s="1271">
        <v>97668</v>
      </c>
      <c r="B333" s="1272" t="s">
        <v>26</v>
      </c>
      <c r="C333" s="1272" t="s">
        <v>1198</v>
      </c>
      <c r="D333" s="1274" t="s">
        <v>1199</v>
      </c>
      <c r="E333" s="1271" t="s">
        <v>246</v>
      </c>
      <c r="F333" s="1293">
        <v>60</v>
      </c>
      <c r="G333" s="1283">
        <v>11.95</v>
      </c>
      <c r="H333" s="1277">
        <v>14.9375</v>
      </c>
      <c r="I333" s="1277">
        <v>717</v>
      </c>
      <c r="J333" s="1277">
        <v>896.25</v>
      </c>
      <c r="K333" s="1278">
        <f t="shared" si="10"/>
        <v>1.1758168393450865E-4</v>
      </c>
      <c r="L333" s="1278">
        <f t="shared" si="11"/>
        <v>0.98708459073234744</v>
      </c>
      <c r="M333" s="1279" t="s">
        <v>2319</v>
      </c>
    </row>
    <row r="334" spans="1:14" ht="28.5">
      <c r="A334" s="1271">
        <v>7820</v>
      </c>
      <c r="B334" s="1272" t="s">
        <v>67</v>
      </c>
      <c r="C334" s="1272" t="s">
        <v>1150</v>
      </c>
      <c r="D334" s="1274" t="s">
        <v>1149</v>
      </c>
      <c r="E334" s="1271" t="s">
        <v>55</v>
      </c>
      <c r="F334" s="1293">
        <v>32</v>
      </c>
      <c r="G334" s="1283">
        <v>21.93</v>
      </c>
      <c r="H334" s="1277">
        <v>27.412500000000001</v>
      </c>
      <c r="I334" s="1277">
        <v>701.76</v>
      </c>
      <c r="J334" s="1277">
        <v>877.2</v>
      </c>
      <c r="K334" s="1278">
        <f t="shared" si="10"/>
        <v>1.1508245818393416E-4</v>
      </c>
      <c r="L334" s="1278">
        <f t="shared" si="11"/>
        <v>0.98719967319053137</v>
      </c>
      <c r="M334" s="1279" t="s">
        <v>2319</v>
      </c>
    </row>
    <row r="335" spans="1:14" ht="42.75">
      <c r="A335" s="1285">
        <v>9383</v>
      </c>
      <c r="B335" s="1286" t="s">
        <v>67</v>
      </c>
      <c r="C335" s="1272" t="s">
        <v>593</v>
      </c>
      <c r="D335" s="1294" t="s">
        <v>594</v>
      </c>
      <c r="E335" s="1271" t="s">
        <v>96</v>
      </c>
      <c r="F335" s="1275">
        <v>18</v>
      </c>
      <c r="G335" s="1283">
        <v>38.979999999999997</v>
      </c>
      <c r="H335" s="1277">
        <v>48.724999999999994</v>
      </c>
      <c r="I335" s="1277">
        <v>701.64</v>
      </c>
      <c r="J335" s="1277">
        <v>877.05</v>
      </c>
      <c r="K335" s="1278">
        <f t="shared" si="10"/>
        <v>1.1506277924101624E-4</v>
      </c>
      <c r="L335" s="1278">
        <f t="shared" si="11"/>
        <v>0.98731473596977237</v>
      </c>
      <c r="M335" s="1279" t="s">
        <v>2319</v>
      </c>
    </row>
    <row r="336" spans="1:14" ht="20.45" customHeight="1">
      <c r="A336" s="1271">
        <v>89449</v>
      </c>
      <c r="B336" s="1272" t="s">
        <v>26</v>
      </c>
      <c r="C336" s="1272" t="s">
        <v>525</v>
      </c>
      <c r="D336" s="1294" t="s">
        <v>526</v>
      </c>
      <c r="E336" s="1271" t="s">
        <v>246</v>
      </c>
      <c r="F336" s="1275">
        <v>34.380000000000003</v>
      </c>
      <c r="G336" s="1283">
        <v>20.350000000000001</v>
      </c>
      <c r="H336" s="1277">
        <v>25.4375</v>
      </c>
      <c r="I336" s="1277">
        <v>699.63300000000015</v>
      </c>
      <c r="J336" s="1277">
        <v>874.5412500000001</v>
      </c>
      <c r="K336" s="1278">
        <f t="shared" si="10"/>
        <v>1.1473364892071422E-4</v>
      </c>
      <c r="L336" s="1278">
        <f t="shared" si="11"/>
        <v>0.98742946961869305</v>
      </c>
      <c r="M336" s="1279" t="s">
        <v>2319</v>
      </c>
    </row>
    <row r="337" spans="1:15" ht="18" customHeight="1">
      <c r="A337" s="1271">
        <v>13271</v>
      </c>
      <c r="B337" s="1272" t="s">
        <v>67</v>
      </c>
      <c r="C337" s="1272" t="s">
        <v>1237</v>
      </c>
      <c r="D337" s="1274" t="s">
        <v>1238</v>
      </c>
      <c r="E337" s="1271" t="s">
        <v>55</v>
      </c>
      <c r="F337" s="1293">
        <v>2</v>
      </c>
      <c r="G337" s="1283">
        <v>348.69</v>
      </c>
      <c r="H337" s="1277">
        <v>435.86250000000001</v>
      </c>
      <c r="I337" s="1277">
        <v>697.38</v>
      </c>
      <c r="J337" s="1277">
        <v>871.72500000000002</v>
      </c>
      <c r="K337" s="1278">
        <f t="shared" si="10"/>
        <v>1.1436417676743046E-4</v>
      </c>
      <c r="L337" s="1278">
        <f t="shared" si="11"/>
        <v>0.98754383379546051</v>
      </c>
      <c r="M337" s="1279" t="s">
        <v>2319</v>
      </c>
      <c r="N337" s="1204"/>
    </row>
    <row r="338" spans="1:15" ht="28.5">
      <c r="A338" s="1271">
        <v>12494</v>
      </c>
      <c r="B338" s="1272" t="s">
        <v>67</v>
      </c>
      <c r="C338" s="1272" t="s">
        <v>1161</v>
      </c>
      <c r="D338" s="1274" t="s">
        <v>1160</v>
      </c>
      <c r="E338" s="1271" t="s">
        <v>55</v>
      </c>
      <c r="F338" s="1293">
        <v>170</v>
      </c>
      <c r="G338" s="1283">
        <v>4.09</v>
      </c>
      <c r="H338" s="1277">
        <v>5.1124999999999998</v>
      </c>
      <c r="I338" s="1277">
        <v>695.3</v>
      </c>
      <c r="J338" s="1277">
        <v>869.125</v>
      </c>
      <c r="K338" s="1278">
        <f t="shared" si="10"/>
        <v>1.1402307509018669E-4</v>
      </c>
      <c r="L338" s="1278">
        <f t="shared" si="11"/>
        <v>0.98765785687055074</v>
      </c>
      <c r="M338" s="1279" t="s">
        <v>2319</v>
      </c>
    </row>
    <row r="339" spans="1:15" ht="16.899999999999999" customHeight="1">
      <c r="A339" s="1271">
        <v>11405</v>
      </c>
      <c r="B339" s="1272" t="s">
        <v>67</v>
      </c>
      <c r="C339" s="1272" t="s">
        <v>842</v>
      </c>
      <c r="D339" s="1274" t="s">
        <v>843</v>
      </c>
      <c r="E339" s="1271" t="s">
        <v>55</v>
      </c>
      <c r="F339" s="1293">
        <v>56</v>
      </c>
      <c r="G339" s="1283">
        <v>12.4</v>
      </c>
      <c r="H339" s="1277">
        <v>15.5</v>
      </c>
      <c r="I339" s="1277">
        <v>694.4</v>
      </c>
      <c r="J339" s="1277">
        <v>868</v>
      </c>
      <c r="K339" s="1278">
        <f t="shared" si="10"/>
        <v>1.1387548301830237E-4</v>
      </c>
      <c r="L339" s="1278">
        <f t="shared" si="11"/>
        <v>0.98777173235356908</v>
      </c>
      <c r="M339" s="1279" t="s">
        <v>2319</v>
      </c>
    </row>
    <row r="340" spans="1:15" ht="19.149999999999999" customHeight="1">
      <c r="A340" s="1271">
        <v>2055</v>
      </c>
      <c r="B340" s="1272" t="s">
        <v>67</v>
      </c>
      <c r="C340" s="1271" t="s">
        <v>636</v>
      </c>
      <c r="D340" s="1280" t="s">
        <v>637</v>
      </c>
      <c r="E340" s="1281" t="s">
        <v>55</v>
      </c>
      <c r="F340" s="1282">
        <v>1</v>
      </c>
      <c r="G340" s="1283">
        <v>694.16</v>
      </c>
      <c r="H340" s="1277">
        <v>867.69999999999993</v>
      </c>
      <c r="I340" s="1277">
        <v>694.16</v>
      </c>
      <c r="J340" s="1277">
        <v>867.69999999999993</v>
      </c>
      <c r="K340" s="1278">
        <f t="shared" si="10"/>
        <v>1.1383612513246655E-4</v>
      </c>
      <c r="L340" s="1278">
        <f t="shared" si="11"/>
        <v>0.98788556847870157</v>
      </c>
      <c r="M340" s="1279" t="s">
        <v>2319</v>
      </c>
    </row>
    <row r="341" spans="1:15">
      <c r="A341" s="1271" t="s">
        <v>2661</v>
      </c>
      <c r="B341" s="1271"/>
      <c r="C341" s="1271" t="s">
        <v>1354</v>
      </c>
      <c r="D341" s="1274" t="s">
        <v>1355</v>
      </c>
      <c r="E341" s="1295" t="s">
        <v>61</v>
      </c>
      <c r="F341" s="1275">
        <v>3.44</v>
      </c>
      <c r="G341" s="1293">
        <v>200</v>
      </c>
      <c r="H341" s="1293">
        <v>250</v>
      </c>
      <c r="I341" s="1293">
        <v>688</v>
      </c>
      <c r="J341" s="1275">
        <v>860</v>
      </c>
      <c r="K341" s="1278">
        <f t="shared" si="10"/>
        <v>1.1282593939601388E-4</v>
      </c>
      <c r="L341" s="1278">
        <f t="shared" si="11"/>
        <v>0.98799839441809756</v>
      </c>
      <c r="M341" s="1279" t="s">
        <v>2319</v>
      </c>
    </row>
    <row r="342" spans="1:15" ht="16.899999999999999" customHeight="1">
      <c r="A342" s="1271">
        <v>794</v>
      </c>
      <c r="B342" s="1272" t="s">
        <v>67</v>
      </c>
      <c r="C342" s="1272" t="s">
        <v>1110</v>
      </c>
      <c r="D342" s="1274" t="s">
        <v>1111</v>
      </c>
      <c r="E342" s="1271" t="s">
        <v>55</v>
      </c>
      <c r="F342" s="1293">
        <v>12</v>
      </c>
      <c r="G342" s="1283">
        <v>56.92</v>
      </c>
      <c r="H342" s="1277">
        <v>71.150000000000006</v>
      </c>
      <c r="I342" s="1277">
        <v>683.04</v>
      </c>
      <c r="J342" s="1277">
        <v>853.80000000000007</v>
      </c>
      <c r="K342" s="1278">
        <f t="shared" si="10"/>
        <v>1.1201254308874029E-4</v>
      </c>
      <c r="L342" s="1278">
        <f t="shared" si="11"/>
        <v>0.98811040696118635</v>
      </c>
      <c r="M342" s="1279" t="s">
        <v>2319</v>
      </c>
    </row>
    <row r="343" spans="1:15" ht="22.9" customHeight="1">
      <c r="A343" s="1271">
        <v>11417</v>
      </c>
      <c r="B343" s="1272" t="s">
        <v>67</v>
      </c>
      <c r="C343" s="1272" t="s">
        <v>1088</v>
      </c>
      <c r="D343" s="1274" t="s">
        <v>1089</v>
      </c>
      <c r="E343" s="1271" t="s">
        <v>55</v>
      </c>
      <c r="F343" s="1293">
        <v>4</v>
      </c>
      <c r="G343" s="1283">
        <v>168.86</v>
      </c>
      <c r="H343" s="1277">
        <v>211.07500000000002</v>
      </c>
      <c r="I343" s="1277">
        <v>675.44</v>
      </c>
      <c r="J343" s="1277">
        <v>844.30000000000007</v>
      </c>
      <c r="K343" s="1278">
        <f t="shared" si="10"/>
        <v>1.1076621003727269E-4</v>
      </c>
      <c r="L343" s="1278">
        <f t="shared" si="11"/>
        <v>0.9882211731712236</v>
      </c>
      <c r="M343" s="1279" t="s">
        <v>2319</v>
      </c>
    </row>
    <row r="344" spans="1:15" ht="28.5">
      <c r="A344" s="1271">
        <v>11417</v>
      </c>
      <c r="B344" s="1272" t="s">
        <v>67</v>
      </c>
      <c r="C344" s="1272" t="s">
        <v>1179</v>
      </c>
      <c r="D344" s="1274" t="s">
        <v>1089</v>
      </c>
      <c r="E344" s="1271" t="s">
        <v>55</v>
      </c>
      <c r="F344" s="1293">
        <v>4</v>
      </c>
      <c r="G344" s="1283">
        <v>168.86</v>
      </c>
      <c r="H344" s="1277">
        <v>211.07500000000002</v>
      </c>
      <c r="I344" s="1277">
        <v>675.44</v>
      </c>
      <c r="J344" s="1277">
        <v>844.30000000000007</v>
      </c>
      <c r="K344" s="1278">
        <f t="shared" si="10"/>
        <v>1.1076621003727269E-4</v>
      </c>
      <c r="L344" s="1278">
        <f t="shared" si="11"/>
        <v>0.98833193938126085</v>
      </c>
      <c r="M344" s="1279" t="s">
        <v>2319</v>
      </c>
    </row>
    <row r="345" spans="1:15" ht="28.5">
      <c r="A345" s="1271">
        <v>11242</v>
      </c>
      <c r="B345" s="1272" t="s">
        <v>67</v>
      </c>
      <c r="C345" s="1272" t="s">
        <v>1092</v>
      </c>
      <c r="D345" s="1274" t="s">
        <v>1093</v>
      </c>
      <c r="E345" s="1271" t="s">
        <v>55</v>
      </c>
      <c r="F345" s="1293">
        <v>100</v>
      </c>
      <c r="G345" s="1283">
        <v>6.74</v>
      </c>
      <c r="H345" s="1277">
        <v>8.4250000000000007</v>
      </c>
      <c r="I345" s="1277">
        <v>674</v>
      </c>
      <c r="J345" s="1277">
        <v>842.50000000000011</v>
      </c>
      <c r="K345" s="1278">
        <f t="shared" si="10"/>
        <v>1.1053006272225779E-4</v>
      </c>
      <c r="L345" s="1278">
        <f t="shared" si="11"/>
        <v>0.98844246944398306</v>
      </c>
      <c r="M345" s="1279" t="s">
        <v>2319</v>
      </c>
    </row>
    <row r="346" spans="1:15" ht="28.5">
      <c r="A346" s="1271">
        <v>93194</v>
      </c>
      <c r="B346" s="1272" t="s">
        <v>26</v>
      </c>
      <c r="C346" s="1272" t="s">
        <v>249</v>
      </c>
      <c r="D346" s="1274" t="s">
        <v>250</v>
      </c>
      <c r="E346" s="1271" t="s">
        <v>246</v>
      </c>
      <c r="F346" s="1293">
        <v>15.34</v>
      </c>
      <c r="G346" s="1283">
        <v>42.75</v>
      </c>
      <c r="H346" s="1283">
        <v>53.4375</v>
      </c>
      <c r="I346" s="1277">
        <v>655.78499999999997</v>
      </c>
      <c r="J346" s="1277">
        <v>819.73125000000005</v>
      </c>
      <c r="K346" s="1278">
        <f t="shared" si="10"/>
        <v>1.0754296317851012E-4</v>
      </c>
      <c r="L346" s="1278">
        <f t="shared" si="11"/>
        <v>0.98855001240716156</v>
      </c>
      <c r="M346" s="1279" t="s">
        <v>2319</v>
      </c>
    </row>
    <row r="347" spans="1:15" ht="39" customHeight="1">
      <c r="A347" s="1271">
        <v>93014</v>
      </c>
      <c r="B347" s="1272" t="s">
        <v>26</v>
      </c>
      <c r="C347" s="1272" t="s">
        <v>896</v>
      </c>
      <c r="D347" s="1274" t="s">
        <v>897</v>
      </c>
      <c r="E347" s="1271" t="s">
        <v>55</v>
      </c>
      <c r="F347" s="1293">
        <v>40</v>
      </c>
      <c r="G347" s="1283">
        <v>16</v>
      </c>
      <c r="H347" s="1277">
        <v>20</v>
      </c>
      <c r="I347" s="1277">
        <v>640</v>
      </c>
      <c r="J347" s="1277">
        <v>800</v>
      </c>
      <c r="K347" s="1278">
        <f t="shared" si="10"/>
        <v>1.0495436222885012E-4</v>
      </c>
      <c r="L347" s="1278">
        <f t="shared" si="11"/>
        <v>0.98865496676939046</v>
      </c>
      <c r="M347" s="1279" t="s">
        <v>2319</v>
      </c>
    </row>
    <row r="348" spans="1:15" ht="28.5">
      <c r="A348" s="1271">
        <v>98111</v>
      </c>
      <c r="B348" s="1272" t="s">
        <v>26</v>
      </c>
      <c r="C348" s="1272" t="s">
        <v>1000</v>
      </c>
      <c r="D348" s="1274" t="s">
        <v>1001</v>
      </c>
      <c r="E348" s="1271" t="s">
        <v>55</v>
      </c>
      <c r="F348" s="1293">
        <v>14</v>
      </c>
      <c r="G348" s="1283">
        <v>45.58</v>
      </c>
      <c r="H348" s="1277">
        <v>56.974999999999994</v>
      </c>
      <c r="I348" s="1277">
        <v>638.12</v>
      </c>
      <c r="J348" s="1277">
        <v>797.64999999999986</v>
      </c>
      <c r="K348" s="1278">
        <f t="shared" si="10"/>
        <v>1.0464605878980285E-4</v>
      </c>
      <c r="L348" s="1278">
        <f t="shared" si="11"/>
        <v>0.98875961282818026</v>
      </c>
      <c r="M348" s="1279" t="s">
        <v>2319</v>
      </c>
    </row>
    <row r="349" spans="1:15" ht="28.5">
      <c r="A349" s="1281">
        <v>11824</v>
      </c>
      <c r="B349" s="1299" t="s">
        <v>67</v>
      </c>
      <c r="C349" s="1272" t="s">
        <v>678</v>
      </c>
      <c r="D349" s="1280" t="s">
        <v>679</v>
      </c>
      <c r="E349" s="1281" t="s">
        <v>55</v>
      </c>
      <c r="F349" s="1282">
        <v>3</v>
      </c>
      <c r="G349" s="1283">
        <v>207.88</v>
      </c>
      <c r="H349" s="1277">
        <v>259.85000000000002</v>
      </c>
      <c r="I349" s="1277">
        <v>623.64</v>
      </c>
      <c r="J349" s="1277">
        <v>779.55000000000007</v>
      </c>
      <c r="K349" s="1278">
        <f t="shared" si="10"/>
        <v>1.0227146634437514E-4</v>
      </c>
      <c r="L349" s="1278">
        <f t="shared" si="11"/>
        <v>0.9888618842945246</v>
      </c>
      <c r="M349" s="1279" t="s">
        <v>2319</v>
      </c>
    </row>
    <row r="350" spans="1:15">
      <c r="A350" s="1271">
        <v>4287</v>
      </c>
      <c r="B350" s="1272" t="s">
        <v>67</v>
      </c>
      <c r="C350" s="1271" t="s">
        <v>1320</v>
      </c>
      <c r="D350" s="1274" t="s">
        <v>1321</v>
      </c>
      <c r="E350" s="1281" t="s">
        <v>55</v>
      </c>
      <c r="F350" s="1282">
        <v>12</v>
      </c>
      <c r="G350" s="1300">
        <v>51</v>
      </c>
      <c r="H350" s="1277">
        <v>63.75</v>
      </c>
      <c r="I350" s="1277">
        <v>612</v>
      </c>
      <c r="J350" s="1277">
        <v>765</v>
      </c>
      <c r="K350" s="1278">
        <f t="shared" si="10"/>
        <v>1.0036260888133793E-4</v>
      </c>
      <c r="L350" s="1278">
        <f t="shared" si="11"/>
        <v>0.98896224690340595</v>
      </c>
      <c r="M350" s="1279" t="s">
        <v>2319</v>
      </c>
      <c r="N350" s="1206"/>
      <c r="O350" s="1206"/>
    </row>
    <row r="351" spans="1:15" ht="28.5">
      <c r="A351" s="1271">
        <v>8782</v>
      </c>
      <c r="B351" s="1272" t="s">
        <v>67</v>
      </c>
      <c r="C351" s="1272" t="s">
        <v>1144</v>
      </c>
      <c r="D351" s="1274" t="s">
        <v>1143</v>
      </c>
      <c r="E351" s="1271" t="s">
        <v>55</v>
      </c>
      <c r="F351" s="1293">
        <v>4</v>
      </c>
      <c r="G351" s="1283">
        <v>152.65</v>
      </c>
      <c r="H351" s="1277">
        <v>190.8125</v>
      </c>
      <c r="I351" s="1277">
        <v>610.6</v>
      </c>
      <c r="J351" s="1277">
        <v>763.25</v>
      </c>
      <c r="K351" s="1278">
        <f t="shared" si="10"/>
        <v>1.0013302121396231E-4</v>
      </c>
      <c r="L351" s="1278">
        <f t="shared" si="11"/>
        <v>0.98906237992461987</v>
      </c>
      <c r="M351" s="1279" t="s">
        <v>2319</v>
      </c>
    </row>
    <row r="352" spans="1:15" ht="42.75">
      <c r="A352" s="1271">
        <v>92357</v>
      </c>
      <c r="B352" s="1272" t="s">
        <v>26</v>
      </c>
      <c r="C352" s="1272" t="s">
        <v>668</v>
      </c>
      <c r="D352" s="1280" t="s">
        <v>669</v>
      </c>
      <c r="E352" s="1281" t="s">
        <v>55</v>
      </c>
      <c r="F352" s="1282">
        <v>3</v>
      </c>
      <c r="G352" s="1283">
        <v>201.82</v>
      </c>
      <c r="H352" s="1277">
        <v>252.27499999999998</v>
      </c>
      <c r="I352" s="1277">
        <v>605.46</v>
      </c>
      <c r="J352" s="1277">
        <v>756.82499999999993</v>
      </c>
      <c r="K352" s="1278">
        <f t="shared" si="10"/>
        <v>9.9290106492311856E-5</v>
      </c>
      <c r="L352" s="1278">
        <f t="shared" si="11"/>
        <v>0.98916167003111222</v>
      </c>
      <c r="M352" s="1279" t="s">
        <v>2319</v>
      </c>
    </row>
    <row r="353" spans="1:15" ht="42.75">
      <c r="A353" s="1271">
        <v>3770</v>
      </c>
      <c r="B353" s="1272" t="s">
        <v>67</v>
      </c>
      <c r="C353" s="1272" t="s">
        <v>2718</v>
      </c>
      <c r="D353" s="1274" t="s">
        <v>1170</v>
      </c>
      <c r="E353" s="1271" t="s">
        <v>246</v>
      </c>
      <c r="F353" s="1293">
        <v>32.4</v>
      </c>
      <c r="G353" s="1283">
        <v>18.62</v>
      </c>
      <c r="H353" s="1277">
        <v>23.275000000000002</v>
      </c>
      <c r="I353" s="1277">
        <v>603.28800000000001</v>
      </c>
      <c r="J353" s="1277">
        <v>754.11</v>
      </c>
      <c r="K353" s="1278">
        <f t="shared" si="10"/>
        <v>9.8933917625497705E-5</v>
      </c>
      <c r="L353" s="1278">
        <f t="shared" si="11"/>
        <v>0.98926060394873772</v>
      </c>
      <c r="M353" s="1279" t="s">
        <v>2319</v>
      </c>
    </row>
    <row r="354" spans="1:15" ht="28.5">
      <c r="A354" s="1285">
        <v>1636</v>
      </c>
      <c r="B354" s="1286" t="s">
        <v>67</v>
      </c>
      <c r="C354" s="1272" t="s">
        <v>562</v>
      </c>
      <c r="D354" s="1287" t="s">
        <v>563</v>
      </c>
      <c r="E354" s="1271" t="s">
        <v>96</v>
      </c>
      <c r="F354" s="1275">
        <v>13</v>
      </c>
      <c r="G354" s="1283">
        <v>46.24</v>
      </c>
      <c r="H354" s="1277">
        <v>57.800000000000004</v>
      </c>
      <c r="I354" s="1277">
        <v>601.12</v>
      </c>
      <c r="J354" s="1277">
        <v>751.40000000000009</v>
      </c>
      <c r="K354" s="1278">
        <f t="shared" si="10"/>
        <v>9.857838472344748E-5</v>
      </c>
      <c r="L354" s="1278">
        <f t="shared" si="11"/>
        <v>0.98935918233346121</v>
      </c>
      <c r="M354" s="1279" t="s">
        <v>2319</v>
      </c>
    </row>
    <row r="355" spans="1:15" ht="28.5">
      <c r="A355" s="1295">
        <v>8783</v>
      </c>
      <c r="B355" s="1307" t="s">
        <v>67</v>
      </c>
      <c r="C355" s="1272" t="s">
        <v>1148</v>
      </c>
      <c r="D355" s="1274" t="s">
        <v>1147</v>
      </c>
      <c r="E355" s="1271" t="s">
        <v>55</v>
      </c>
      <c r="F355" s="1293">
        <v>8</v>
      </c>
      <c r="G355" s="1283">
        <v>74.75</v>
      </c>
      <c r="H355" s="1277">
        <v>93.4375</v>
      </c>
      <c r="I355" s="1277">
        <v>598</v>
      </c>
      <c r="J355" s="1277">
        <v>747.5</v>
      </c>
      <c r="K355" s="1278">
        <f t="shared" si="10"/>
        <v>9.8066732207581831E-5</v>
      </c>
      <c r="L355" s="1278">
        <f t="shared" si="11"/>
        <v>0.98945724906566879</v>
      </c>
      <c r="M355" s="1279" t="s">
        <v>2319</v>
      </c>
    </row>
    <row r="356" spans="1:15" ht="28.5">
      <c r="A356" s="1271">
        <v>3682</v>
      </c>
      <c r="B356" s="1272" t="s">
        <v>67</v>
      </c>
      <c r="C356" s="1271" t="s">
        <v>641</v>
      </c>
      <c r="D356" s="1280" t="s">
        <v>642</v>
      </c>
      <c r="E356" s="1281" t="s">
        <v>96</v>
      </c>
      <c r="F356" s="1282">
        <v>8</v>
      </c>
      <c r="G356" s="1283">
        <v>73.53</v>
      </c>
      <c r="H356" s="1277">
        <v>91.912499999999994</v>
      </c>
      <c r="I356" s="1277">
        <v>588.24</v>
      </c>
      <c r="J356" s="1277">
        <v>735.3</v>
      </c>
      <c r="K356" s="1278">
        <f t="shared" si="10"/>
        <v>9.6466178183591858E-5</v>
      </c>
      <c r="L356" s="1278">
        <f t="shared" si="11"/>
        <v>0.98955371524385238</v>
      </c>
      <c r="M356" s="1279" t="s">
        <v>2319</v>
      </c>
    </row>
    <row r="357" spans="1:15" ht="42.75">
      <c r="A357" s="1295">
        <v>89799</v>
      </c>
      <c r="B357" s="1299" t="s">
        <v>26</v>
      </c>
      <c r="C357" s="1272" t="s">
        <v>1226</v>
      </c>
      <c r="D357" s="1274" t="s">
        <v>1227</v>
      </c>
      <c r="E357" s="1271" t="s">
        <v>246</v>
      </c>
      <c r="F357" s="1293">
        <v>26</v>
      </c>
      <c r="G357" s="1283">
        <v>22.56</v>
      </c>
      <c r="H357" s="1277">
        <v>28.2</v>
      </c>
      <c r="I357" s="1277">
        <v>586.55999999999995</v>
      </c>
      <c r="J357" s="1277">
        <v>733.19999999999993</v>
      </c>
      <c r="K357" s="1278">
        <f t="shared" si="10"/>
        <v>9.6190672982741121E-5</v>
      </c>
      <c r="L357" s="1278">
        <f t="shared" si="11"/>
        <v>0.9896499059168351</v>
      </c>
      <c r="M357" s="1279" t="s">
        <v>2319</v>
      </c>
    </row>
    <row r="358" spans="1:15">
      <c r="A358" s="1271">
        <v>10592</v>
      </c>
      <c r="B358" s="1272" t="s">
        <v>67</v>
      </c>
      <c r="C358" s="1272" t="s">
        <v>1099</v>
      </c>
      <c r="D358" s="1274" t="s">
        <v>1100</v>
      </c>
      <c r="E358" s="1271" t="s">
        <v>40</v>
      </c>
      <c r="F358" s="1293">
        <v>160</v>
      </c>
      <c r="G358" s="1283">
        <v>3.65</v>
      </c>
      <c r="H358" s="1277">
        <v>4.5625</v>
      </c>
      <c r="I358" s="1277">
        <v>584</v>
      </c>
      <c r="J358" s="1277">
        <v>730</v>
      </c>
      <c r="K358" s="1278">
        <f t="shared" si="10"/>
        <v>9.5770855533825722E-5</v>
      </c>
      <c r="L358" s="1278">
        <f t="shared" si="11"/>
        <v>0.98974567677236891</v>
      </c>
      <c r="M358" s="1279" t="s">
        <v>2319</v>
      </c>
    </row>
    <row r="359" spans="1:15" ht="31.5" customHeight="1">
      <c r="A359" s="1271">
        <v>4190</v>
      </c>
      <c r="B359" s="1272" t="s">
        <v>67</v>
      </c>
      <c r="C359" s="1272" t="s">
        <v>852</v>
      </c>
      <c r="D359" s="1274" t="s">
        <v>691</v>
      </c>
      <c r="E359" s="1271" t="s">
        <v>55</v>
      </c>
      <c r="F359" s="1293">
        <v>166</v>
      </c>
      <c r="G359" s="1283">
        <v>3.5</v>
      </c>
      <c r="H359" s="1277">
        <v>4.375</v>
      </c>
      <c r="I359" s="1277">
        <v>581</v>
      </c>
      <c r="J359" s="1277">
        <v>726.25</v>
      </c>
      <c r="K359" s="1278">
        <f t="shared" si="10"/>
        <v>9.5278881960877992E-5</v>
      </c>
      <c r="L359" s="1278">
        <f t="shared" si="11"/>
        <v>0.98984095565432983</v>
      </c>
      <c r="M359" s="1279" t="s">
        <v>2319</v>
      </c>
    </row>
    <row r="360" spans="1:15" ht="32.450000000000003" customHeight="1">
      <c r="A360" s="1271">
        <v>670</v>
      </c>
      <c r="B360" s="1272" t="s">
        <v>67</v>
      </c>
      <c r="C360" s="1272" t="s">
        <v>855</v>
      </c>
      <c r="D360" s="1274" t="s">
        <v>837</v>
      </c>
      <c r="E360" s="1271" t="s">
        <v>55</v>
      </c>
      <c r="F360" s="1293">
        <v>4</v>
      </c>
      <c r="G360" s="1283">
        <v>144.87</v>
      </c>
      <c r="H360" s="1277">
        <v>181.08750000000001</v>
      </c>
      <c r="I360" s="1277">
        <v>579.48</v>
      </c>
      <c r="J360" s="1277">
        <v>724.35</v>
      </c>
      <c r="K360" s="1278">
        <f t="shared" si="10"/>
        <v>9.5029615350584481E-5</v>
      </c>
      <c r="L360" s="1278">
        <f t="shared" si="11"/>
        <v>0.98993598526968041</v>
      </c>
      <c r="M360" s="1279" t="s">
        <v>2319</v>
      </c>
    </row>
    <row r="361" spans="1:15" ht="28.5">
      <c r="A361" s="1271">
        <v>670</v>
      </c>
      <c r="B361" s="1272" t="s">
        <v>67</v>
      </c>
      <c r="C361" s="1272" t="s">
        <v>1188</v>
      </c>
      <c r="D361" s="1274" t="s">
        <v>1189</v>
      </c>
      <c r="E361" s="1271" t="s">
        <v>55</v>
      </c>
      <c r="F361" s="1293">
        <v>4</v>
      </c>
      <c r="G361" s="1283">
        <v>144.87</v>
      </c>
      <c r="H361" s="1277">
        <v>181.08750000000001</v>
      </c>
      <c r="I361" s="1277">
        <v>579.48</v>
      </c>
      <c r="J361" s="1277">
        <v>724.35</v>
      </c>
      <c r="K361" s="1278">
        <f t="shared" si="10"/>
        <v>9.5029615350584481E-5</v>
      </c>
      <c r="L361" s="1278">
        <f t="shared" si="11"/>
        <v>0.99003101488503098</v>
      </c>
      <c r="M361" s="1279" t="s">
        <v>2319</v>
      </c>
    </row>
    <row r="362" spans="1:15" ht="42.75">
      <c r="A362" s="1271">
        <v>11273</v>
      </c>
      <c r="B362" s="1272" t="s">
        <v>67</v>
      </c>
      <c r="C362" s="1272" t="s">
        <v>994</v>
      </c>
      <c r="D362" s="1274" t="s">
        <v>995</v>
      </c>
      <c r="E362" s="1271" t="s">
        <v>55</v>
      </c>
      <c r="F362" s="1293">
        <v>1</v>
      </c>
      <c r="G362" s="1283">
        <v>577.29999999999995</v>
      </c>
      <c r="H362" s="1277">
        <v>721.625</v>
      </c>
      <c r="I362" s="1277">
        <v>577.29999999999995</v>
      </c>
      <c r="J362" s="1277">
        <v>721.625</v>
      </c>
      <c r="K362" s="1278">
        <f t="shared" si="10"/>
        <v>9.4672114554242453E-5</v>
      </c>
      <c r="L362" s="1278">
        <f t="shared" si="11"/>
        <v>0.99012568699958525</v>
      </c>
      <c r="M362" s="1279" t="s">
        <v>2319</v>
      </c>
    </row>
    <row r="363" spans="1:15" ht="28.5">
      <c r="A363" s="1271">
        <v>3467</v>
      </c>
      <c r="B363" s="1272" t="s">
        <v>67</v>
      </c>
      <c r="C363" s="1271" t="s">
        <v>751</v>
      </c>
      <c r="D363" s="1274" t="s">
        <v>752</v>
      </c>
      <c r="E363" s="1271" t="s">
        <v>55</v>
      </c>
      <c r="F363" s="1293">
        <v>8</v>
      </c>
      <c r="G363" s="1283">
        <v>71.25</v>
      </c>
      <c r="H363" s="1277">
        <v>89.0625</v>
      </c>
      <c r="I363" s="1277">
        <v>570</v>
      </c>
      <c r="J363" s="1277">
        <v>712.5</v>
      </c>
      <c r="K363" s="1278">
        <f t="shared" si="10"/>
        <v>9.3474978860069626E-5</v>
      </c>
      <c r="L363" s="1278">
        <f t="shared" si="11"/>
        <v>0.99021916197844528</v>
      </c>
      <c r="M363" s="1279" t="s">
        <v>2319</v>
      </c>
    </row>
    <row r="364" spans="1:15">
      <c r="A364" s="1271">
        <v>3811</v>
      </c>
      <c r="B364" s="1272" t="s">
        <v>67</v>
      </c>
      <c r="C364" s="1271" t="s">
        <v>1059</v>
      </c>
      <c r="D364" s="1274" t="s">
        <v>1060</v>
      </c>
      <c r="E364" s="1271" t="s">
        <v>246</v>
      </c>
      <c r="F364" s="1293">
        <v>14.399999999999999</v>
      </c>
      <c r="G364" s="1283">
        <v>39.49</v>
      </c>
      <c r="H364" s="1277">
        <v>49.362500000000004</v>
      </c>
      <c r="I364" s="1277">
        <v>568.65599999999995</v>
      </c>
      <c r="J364" s="1277">
        <v>710.81999999999994</v>
      </c>
      <c r="K364" s="1278">
        <f t="shared" si="10"/>
        <v>9.3254574699389042E-5</v>
      </c>
      <c r="L364" s="1278">
        <f t="shared" si="11"/>
        <v>0.99031241655314473</v>
      </c>
      <c r="M364" s="1279" t="s">
        <v>2319</v>
      </c>
    </row>
    <row r="365" spans="1:15" ht="57">
      <c r="A365" s="1271">
        <v>6096</v>
      </c>
      <c r="B365" s="1272" t="s">
        <v>67</v>
      </c>
      <c r="C365" s="1272" t="s">
        <v>70</v>
      </c>
      <c r="D365" s="1294" t="s">
        <v>71</v>
      </c>
      <c r="E365" s="1271" t="s">
        <v>55</v>
      </c>
      <c r="F365" s="1275">
        <v>1</v>
      </c>
      <c r="G365" s="1283">
        <v>558.83000000000004</v>
      </c>
      <c r="H365" s="1277">
        <v>698.53750000000002</v>
      </c>
      <c r="I365" s="1277">
        <v>558.83000000000004</v>
      </c>
      <c r="J365" s="1277">
        <v>698.53750000000002</v>
      </c>
      <c r="K365" s="1278">
        <f t="shared" si="10"/>
        <v>9.1643197256794235E-5</v>
      </c>
      <c r="L365" s="1278">
        <f t="shared" si="11"/>
        <v>0.99040405975040147</v>
      </c>
      <c r="M365" s="1279" t="s">
        <v>2319</v>
      </c>
      <c r="N365" s="1207"/>
      <c r="O365" s="1207"/>
    </row>
    <row r="366" spans="1:15" ht="42.75">
      <c r="A366" s="1271">
        <v>91928</v>
      </c>
      <c r="B366" s="1272" t="s">
        <v>26</v>
      </c>
      <c r="C366" s="1271" t="s">
        <v>1057</v>
      </c>
      <c r="D366" s="1274" t="s">
        <v>1058</v>
      </c>
      <c r="E366" s="1271" t="s">
        <v>246</v>
      </c>
      <c r="F366" s="1293">
        <v>82.44</v>
      </c>
      <c r="G366" s="1283">
        <v>6.64</v>
      </c>
      <c r="H366" s="1277">
        <v>8.2999999999999989</v>
      </c>
      <c r="I366" s="1277">
        <v>547.40159999999992</v>
      </c>
      <c r="J366" s="1277">
        <v>684.25199999999984</v>
      </c>
      <c r="K366" s="1278">
        <f t="shared" si="10"/>
        <v>8.9769040329768917E-5</v>
      </c>
      <c r="L366" s="1278">
        <f t="shared" si="11"/>
        <v>0.99049382879073122</v>
      </c>
      <c r="M366" s="1279" t="s">
        <v>2319</v>
      </c>
    </row>
    <row r="367" spans="1:15" ht="28.5">
      <c r="A367" s="1271">
        <v>11148</v>
      </c>
      <c r="B367" s="1272" t="s">
        <v>67</v>
      </c>
      <c r="C367" s="1271" t="s">
        <v>1065</v>
      </c>
      <c r="D367" s="1274" t="s">
        <v>1066</v>
      </c>
      <c r="E367" s="1271" t="s">
        <v>55</v>
      </c>
      <c r="F367" s="1293">
        <v>2</v>
      </c>
      <c r="G367" s="1283">
        <v>270.18</v>
      </c>
      <c r="H367" s="1277">
        <v>337.72500000000002</v>
      </c>
      <c r="I367" s="1277">
        <v>540.36</v>
      </c>
      <c r="J367" s="1277">
        <v>675.45</v>
      </c>
      <c r="K367" s="1278">
        <f t="shared" si="10"/>
        <v>8.8614279959346018E-5</v>
      </c>
      <c r="L367" s="1278">
        <f t="shared" si="11"/>
        <v>0.99058244307069054</v>
      </c>
      <c r="M367" s="1279" t="s">
        <v>2319</v>
      </c>
    </row>
    <row r="368" spans="1:15" ht="28.5">
      <c r="A368" s="1271">
        <v>99624</v>
      </c>
      <c r="B368" s="1272" t="s">
        <v>26</v>
      </c>
      <c r="C368" s="1272" t="s">
        <v>658</v>
      </c>
      <c r="D368" s="1280" t="s">
        <v>659</v>
      </c>
      <c r="E368" s="1281" t="s">
        <v>55</v>
      </c>
      <c r="F368" s="1282">
        <v>1</v>
      </c>
      <c r="G368" s="1283">
        <v>535.36</v>
      </c>
      <c r="H368" s="1277">
        <v>669.2</v>
      </c>
      <c r="I368" s="1277">
        <v>535.36</v>
      </c>
      <c r="J368" s="1277">
        <v>669.2</v>
      </c>
      <c r="K368" s="1278">
        <f t="shared" si="10"/>
        <v>8.7794324004433126E-5</v>
      </c>
      <c r="L368" s="1278">
        <f t="shared" si="11"/>
        <v>0.99067023739469495</v>
      </c>
      <c r="M368" s="1279" t="s">
        <v>2319</v>
      </c>
    </row>
    <row r="369" spans="1:13" ht="28.5">
      <c r="A369" s="1271">
        <v>805</v>
      </c>
      <c r="B369" s="1272" t="s">
        <v>67</v>
      </c>
      <c r="C369" s="1272" t="s">
        <v>1075</v>
      </c>
      <c r="D369" s="1274" t="s">
        <v>1076</v>
      </c>
      <c r="E369" s="1271" t="s">
        <v>55</v>
      </c>
      <c r="F369" s="1293">
        <v>2</v>
      </c>
      <c r="G369" s="1283">
        <v>264.82</v>
      </c>
      <c r="H369" s="1277">
        <v>331.02499999999998</v>
      </c>
      <c r="I369" s="1277">
        <v>529.64</v>
      </c>
      <c r="J369" s="1277">
        <v>662.05</v>
      </c>
      <c r="K369" s="1278">
        <f t="shared" si="10"/>
        <v>8.6856294392012771E-5</v>
      </c>
      <c r="L369" s="1278">
        <f t="shared" si="11"/>
        <v>0.99075709368908693</v>
      </c>
      <c r="M369" s="1279" t="s">
        <v>2319</v>
      </c>
    </row>
    <row r="370" spans="1:13" ht="28.5">
      <c r="A370" s="1271">
        <v>8814</v>
      </c>
      <c r="B370" s="1272" t="s">
        <v>67</v>
      </c>
      <c r="C370" s="1271" t="s">
        <v>1336</v>
      </c>
      <c r="D370" s="1274" t="s">
        <v>1337</v>
      </c>
      <c r="E370" s="1281" t="s">
        <v>55</v>
      </c>
      <c r="F370" s="1282">
        <v>6</v>
      </c>
      <c r="G370" s="1304">
        <v>88</v>
      </c>
      <c r="H370" s="1304">
        <v>110</v>
      </c>
      <c r="I370" s="1304">
        <v>528</v>
      </c>
      <c r="J370" s="1304">
        <v>660</v>
      </c>
      <c r="K370" s="1278">
        <f t="shared" si="10"/>
        <v>8.658734883880134E-5</v>
      </c>
      <c r="L370" s="1278">
        <f t="shared" si="11"/>
        <v>0.99084368103792575</v>
      </c>
      <c r="M370" s="1279" t="s">
        <v>2319</v>
      </c>
    </row>
    <row r="371" spans="1:13" ht="42.75">
      <c r="A371" s="1296">
        <v>11946</v>
      </c>
      <c r="B371" s="1312" t="s">
        <v>67</v>
      </c>
      <c r="C371" s="1307" t="s">
        <v>307</v>
      </c>
      <c r="D371" s="1280" t="s">
        <v>308</v>
      </c>
      <c r="E371" s="1281" t="s">
        <v>61</v>
      </c>
      <c r="F371" s="1282">
        <v>1.704</v>
      </c>
      <c r="G371" s="1276">
        <v>306.97000000000003</v>
      </c>
      <c r="H371" s="1277">
        <v>383.71250000000003</v>
      </c>
      <c r="I371" s="1277">
        <v>523.07688000000007</v>
      </c>
      <c r="J371" s="1277">
        <v>653.84610000000009</v>
      </c>
      <c r="K371" s="1278">
        <f t="shared" si="10"/>
        <v>8.5780000526651201E-5</v>
      </c>
      <c r="L371" s="1278">
        <f t="shared" si="11"/>
        <v>0.99092946103845236</v>
      </c>
      <c r="M371" s="1279" t="s">
        <v>2319</v>
      </c>
    </row>
    <row r="372" spans="1:13" ht="42.75">
      <c r="A372" s="1271">
        <v>89362</v>
      </c>
      <c r="B372" s="1272" t="s">
        <v>26</v>
      </c>
      <c r="C372" s="1272" t="s">
        <v>465</v>
      </c>
      <c r="D372" s="1294" t="s">
        <v>466</v>
      </c>
      <c r="E372" s="1271" t="s">
        <v>55</v>
      </c>
      <c r="F372" s="1275">
        <v>60</v>
      </c>
      <c r="G372" s="1283">
        <v>8.6199999999999992</v>
      </c>
      <c r="H372" s="1277">
        <v>10.774999999999999</v>
      </c>
      <c r="I372" s="1277">
        <v>517.19999999999993</v>
      </c>
      <c r="J372" s="1277">
        <v>646.49999999999989</v>
      </c>
      <c r="K372" s="1278">
        <f t="shared" si="10"/>
        <v>8.481624397618948E-5</v>
      </c>
      <c r="L372" s="1278">
        <f t="shared" si="11"/>
        <v>0.99101427728242852</v>
      </c>
      <c r="M372" s="1279" t="s">
        <v>2319</v>
      </c>
    </row>
    <row r="373" spans="1:13">
      <c r="A373" s="1271">
        <v>2934</v>
      </c>
      <c r="B373" s="1272" t="s">
        <v>67</v>
      </c>
      <c r="C373" s="1272" t="s">
        <v>762</v>
      </c>
      <c r="D373" s="1274" t="s">
        <v>763</v>
      </c>
      <c r="E373" s="1271" t="s">
        <v>55</v>
      </c>
      <c r="F373" s="1293">
        <v>22</v>
      </c>
      <c r="G373" s="1283">
        <v>23.07</v>
      </c>
      <c r="H373" s="1277">
        <v>28.837499999999999</v>
      </c>
      <c r="I373" s="1277">
        <v>507.54</v>
      </c>
      <c r="J373" s="1277">
        <v>634.42499999999995</v>
      </c>
      <c r="K373" s="1278">
        <f t="shared" si="10"/>
        <v>8.3232089071297788E-5</v>
      </c>
      <c r="L373" s="1278">
        <f t="shared" si="11"/>
        <v>0.99109750937149987</v>
      </c>
      <c r="M373" s="1279" t="s">
        <v>2319</v>
      </c>
    </row>
    <row r="374" spans="1:13" ht="59.25">
      <c r="A374" s="1271">
        <v>91922</v>
      </c>
      <c r="B374" s="1272" t="s">
        <v>26</v>
      </c>
      <c r="C374" s="1271" t="s">
        <v>1010</v>
      </c>
      <c r="D374" s="1301" t="s">
        <v>1011</v>
      </c>
      <c r="E374" s="1271" t="s">
        <v>55</v>
      </c>
      <c r="F374" s="1293">
        <v>12</v>
      </c>
      <c r="G374" s="1283">
        <v>42.26</v>
      </c>
      <c r="H374" s="1277">
        <v>52.824999999999996</v>
      </c>
      <c r="I374" s="1277">
        <v>507.12</v>
      </c>
      <c r="J374" s="1277">
        <v>633.9</v>
      </c>
      <c r="K374" s="1278">
        <f t="shared" si="10"/>
        <v>8.316321277108511E-5</v>
      </c>
      <c r="L374" s="1278">
        <f t="shared" si="11"/>
        <v>0.99118067258427101</v>
      </c>
      <c r="M374" s="1279" t="s">
        <v>2319</v>
      </c>
    </row>
    <row r="375" spans="1:13" ht="28.5">
      <c r="A375" s="1271">
        <v>11242</v>
      </c>
      <c r="B375" s="1272" t="s">
        <v>67</v>
      </c>
      <c r="C375" s="1272" t="s">
        <v>1180</v>
      </c>
      <c r="D375" s="1274" t="s">
        <v>1093</v>
      </c>
      <c r="E375" s="1271" t="s">
        <v>55</v>
      </c>
      <c r="F375" s="1293">
        <v>73</v>
      </c>
      <c r="G375" s="1283">
        <v>6.74</v>
      </c>
      <c r="H375" s="1277">
        <v>8.4250000000000007</v>
      </c>
      <c r="I375" s="1277">
        <v>492.02000000000004</v>
      </c>
      <c r="J375" s="1277">
        <v>615.02500000000009</v>
      </c>
      <c r="K375" s="1278">
        <f t="shared" si="10"/>
        <v>8.0686945787248194E-5</v>
      </c>
      <c r="L375" s="1278">
        <f t="shared" si="11"/>
        <v>0.99126135953005823</v>
      </c>
      <c r="M375" s="1279" t="s">
        <v>2319</v>
      </c>
    </row>
    <row r="376" spans="1:13" ht="28.5">
      <c r="A376" s="1271">
        <v>102137</v>
      </c>
      <c r="B376" s="1272" t="s">
        <v>26</v>
      </c>
      <c r="C376" s="1272" t="s">
        <v>455</v>
      </c>
      <c r="D376" s="1294" t="s">
        <v>456</v>
      </c>
      <c r="E376" s="1271" t="s">
        <v>55</v>
      </c>
      <c r="F376" s="1275">
        <v>6</v>
      </c>
      <c r="G376" s="1283">
        <v>81.430000000000007</v>
      </c>
      <c r="H376" s="1277">
        <v>101.78750000000001</v>
      </c>
      <c r="I376" s="1277">
        <v>488.58000000000004</v>
      </c>
      <c r="J376" s="1277">
        <v>610.72500000000002</v>
      </c>
      <c r="K376" s="1278">
        <f t="shared" si="10"/>
        <v>8.0122816090268106E-5</v>
      </c>
      <c r="L376" s="1278">
        <f t="shared" si="11"/>
        <v>0.99134148234614849</v>
      </c>
      <c r="M376" s="1279" t="s">
        <v>2319</v>
      </c>
    </row>
    <row r="377" spans="1:13" ht="57">
      <c r="A377" s="1285">
        <v>89732</v>
      </c>
      <c r="B377" s="1286" t="s">
        <v>26</v>
      </c>
      <c r="C377" s="1272" t="s">
        <v>540</v>
      </c>
      <c r="D377" s="1294" t="s">
        <v>541</v>
      </c>
      <c r="E377" s="1271" t="s">
        <v>96</v>
      </c>
      <c r="F377" s="1275">
        <v>31</v>
      </c>
      <c r="G377" s="1283">
        <v>15.58</v>
      </c>
      <c r="H377" s="1277">
        <v>19.475000000000001</v>
      </c>
      <c r="I377" s="1277">
        <v>482.98</v>
      </c>
      <c r="J377" s="1277">
        <v>603.72500000000002</v>
      </c>
      <c r="K377" s="1278">
        <f t="shared" si="10"/>
        <v>7.9204465420765671E-5</v>
      </c>
      <c r="L377" s="1278">
        <f t="shared" si="11"/>
        <v>0.99142068681156925</v>
      </c>
      <c r="M377" s="1279" t="s">
        <v>2319</v>
      </c>
    </row>
    <row r="378" spans="1:13" ht="28.5">
      <c r="A378" s="1271">
        <v>8222</v>
      </c>
      <c r="B378" s="1272" t="s">
        <v>67</v>
      </c>
      <c r="C378" s="1272" t="s">
        <v>1146</v>
      </c>
      <c r="D378" s="1294" t="s">
        <v>1145</v>
      </c>
      <c r="E378" s="1271" t="s">
        <v>55</v>
      </c>
      <c r="F378" s="1293">
        <v>3</v>
      </c>
      <c r="G378" s="1283">
        <v>160.97</v>
      </c>
      <c r="H378" s="1277">
        <v>201.21250000000001</v>
      </c>
      <c r="I378" s="1277">
        <v>482.90999999999997</v>
      </c>
      <c r="J378" s="1277">
        <v>603.63750000000005</v>
      </c>
      <c r="K378" s="1278">
        <f t="shared" si="10"/>
        <v>7.9192986037396898E-5</v>
      </c>
      <c r="L378" s="1278">
        <f t="shared" si="11"/>
        <v>0.99149987979760668</v>
      </c>
      <c r="M378" s="1279" t="s">
        <v>2319</v>
      </c>
    </row>
    <row r="379" spans="1:13">
      <c r="A379" s="1271">
        <v>1137</v>
      </c>
      <c r="B379" s="1272" t="s">
        <v>67</v>
      </c>
      <c r="C379" s="1272" t="s">
        <v>469</v>
      </c>
      <c r="D379" s="1294" t="s">
        <v>470</v>
      </c>
      <c r="E379" s="1271" t="s">
        <v>55</v>
      </c>
      <c r="F379" s="1275">
        <v>26</v>
      </c>
      <c r="G379" s="1283">
        <v>18.25</v>
      </c>
      <c r="H379" s="1277">
        <v>22.8125</v>
      </c>
      <c r="I379" s="1277">
        <v>474.5</v>
      </c>
      <c r="J379" s="1277">
        <v>593.125</v>
      </c>
      <c r="K379" s="1278">
        <f t="shared" si="10"/>
        <v>7.7813820121233398E-5</v>
      </c>
      <c r="L379" s="1278">
        <f t="shared" si="11"/>
        <v>0.99157769361772796</v>
      </c>
      <c r="M379" s="1279" t="s">
        <v>2319</v>
      </c>
    </row>
    <row r="380" spans="1:13" ht="21" customHeight="1">
      <c r="A380" s="1296">
        <v>102162</v>
      </c>
      <c r="B380" s="1299" t="s">
        <v>26</v>
      </c>
      <c r="C380" s="1307" t="s">
        <v>309</v>
      </c>
      <c r="D380" s="1280" t="s">
        <v>310</v>
      </c>
      <c r="E380" s="1281" t="s">
        <v>61</v>
      </c>
      <c r="F380" s="1282">
        <v>1.704</v>
      </c>
      <c r="G380" s="1276">
        <v>276.02999999999997</v>
      </c>
      <c r="H380" s="1277">
        <v>345.03749999999997</v>
      </c>
      <c r="I380" s="1277">
        <v>470.35511999999994</v>
      </c>
      <c r="J380" s="1277">
        <v>587.94389999999987</v>
      </c>
      <c r="K380" s="1278">
        <f t="shared" si="10"/>
        <v>7.7134096313553524E-5</v>
      </c>
      <c r="L380" s="1278">
        <f t="shared" si="11"/>
        <v>0.99165482771404156</v>
      </c>
      <c r="M380" s="1279" t="s">
        <v>2319</v>
      </c>
    </row>
    <row r="381" spans="1:13" ht="28.5">
      <c r="A381" s="1271">
        <v>9521</v>
      </c>
      <c r="B381" s="1272" t="s">
        <v>67</v>
      </c>
      <c r="C381" s="1272" t="s">
        <v>1140</v>
      </c>
      <c r="D381" s="1274" t="s">
        <v>1139</v>
      </c>
      <c r="E381" s="1271" t="s">
        <v>55</v>
      </c>
      <c r="F381" s="1293">
        <v>6</v>
      </c>
      <c r="G381" s="1283">
        <v>76.650000000000006</v>
      </c>
      <c r="H381" s="1277">
        <v>95.8125</v>
      </c>
      <c r="I381" s="1277">
        <v>459.90000000000003</v>
      </c>
      <c r="J381" s="1277">
        <v>574.875</v>
      </c>
      <c r="K381" s="1278">
        <f t="shared" si="10"/>
        <v>7.5419548732887759E-5</v>
      </c>
      <c r="L381" s="1278">
        <f t="shared" si="11"/>
        <v>0.99173024726277448</v>
      </c>
      <c r="M381" s="1279" t="s">
        <v>2319</v>
      </c>
    </row>
    <row r="382" spans="1:13" ht="28.5">
      <c r="A382" s="1271">
        <v>93670</v>
      </c>
      <c r="B382" s="1272" t="s">
        <v>26</v>
      </c>
      <c r="C382" s="1272" t="s">
        <v>880</v>
      </c>
      <c r="D382" s="1274" t="s">
        <v>881</v>
      </c>
      <c r="E382" s="1271" t="s">
        <v>55</v>
      </c>
      <c r="F382" s="1293">
        <v>5</v>
      </c>
      <c r="G382" s="1283">
        <v>90.97</v>
      </c>
      <c r="H382" s="1283">
        <v>113.71250000000001</v>
      </c>
      <c r="I382" s="1283">
        <v>454.85</v>
      </c>
      <c r="J382" s="1283">
        <v>568.5625</v>
      </c>
      <c r="K382" s="1278">
        <f t="shared" si="10"/>
        <v>7.4591393218425734E-5</v>
      </c>
      <c r="L382" s="1278">
        <f t="shared" si="11"/>
        <v>0.99180483865599289</v>
      </c>
      <c r="M382" s="1279" t="s">
        <v>2319</v>
      </c>
    </row>
    <row r="383" spans="1:13" ht="42.75">
      <c r="A383" s="1271">
        <v>12870</v>
      </c>
      <c r="B383" s="1272" t="s">
        <v>67</v>
      </c>
      <c r="C383" s="1272" t="s">
        <v>1073</v>
      </c>
      <c r="D383" s="1274" t="s">
        <v>1074</v>
      </c>
      <c r="E383" s="1271" t="s">
        <v>55</v>
      </c>
      <c r="F383" s="1293">
        <v>8</v>
      </c>
      <c r="G383" s="1283">
        <v>56.84</v>
      </c>
      <c r="H383" s="1277">
        <v>71.050000000000011</v>
      </c>
      <c r="I383" s="1277">
        <v>454.72</v>
      </c>
      <c r="J383" s="1277">
        <v>568.40000000000009</v>
      </c>
      <c r="K383" s="1278">
        <f t="shared" si="10"/>
        <v>7.4570074363598015E-5</v>
      </c>
      <c r="L383" s="1278">
        <f t="shared" si="11"/>
        <v>0.99187940873035652</v>
      </c>
      <c r="M383" s="1279" t="s">
        <v>2319</v>
      </c>
    </row>
    <row r="384" spans="1:13" ht="18.75" customHeight="1">
      <c r="A384" s="1271">
        <v>91936</v>
      </c>
      <c r="B384" s="1272" t="s">
        <v>26</v>
      </c>
      <c r="C384" s="1271" t="s">
        <v>1027</v>
      </c>
      <c r="D384" s="1274" t="s">
        <v>1028</v>
      </c>
      <c r="E384" s="1281" t="s">
        <v>55</v>
      </c>
      <c r="F384" s="1282">
        <v>30</v>
      </c>
      <c r="G384" s="1289">
        <v>15.04</v>
      </c>
      <c r="H384" s="1277">
        <v>18.799999999999997</v>
      </c>
      <c r="I384" s="1277">
        <v>451.2</v>
      </c>
      <c r="J384" s="1277">
        <v>563.99999999999989</v>
      </c>
      <c r="K384" s="1278">
        <f t="shared" si="10"/>
        <v>7.3992825371339314E-5</v>
      </c>
      <c r="L384" s="1278">
        <f t="shared" si="11"/>
        <v>0.99195340155572787</v>
      </c>
      <c r="M384" s="1279" t="s">
        <v>2319</v>
      </c>
    </row>
    <row r="385" spans="1:13" ht="42.75">
      <c r="A385" s="1271">
        <v>91865</v>
      </c>
      <c r="B385" s="1272" t="s">
        <v>26</v>
      </c>
      <c r="C385" s="1272" t="s">
        <v>1205</v>
      </c>
      <c r="D385" s="1274" t="s">
        <v>1206</v>
      </c>
      <c r="E385" s="1271" t="s">
        <v>246</v>
      </c>
      <c r="F385" s="1293">
        <v>25.2</v>
      </c>
      <c r="G385" s="1283">
        <v>17.86</v>
      </c>
      <c r="H385" s="1277">
        <v>22.324999999999999</v>
      </c>
      <c r="I385" s="1277">
        <v>450.07199999999995</v>
      </c>
      <c r="J385" s="1277">
        <v>562.58999999999992</v>
      </c>
      <c r="K385" s="1278">
        <f t="shared" si="10"/>
        <v>7.3807843307910977E-5</v>
      </c>
      <c r="L385" s="1278">
        <f t="shared" si="11"/>
        <v>0.99202720939903577</v>
      </c>
      <c r="M385" s="1279" t="s">
        <v>2319</v>
      </c>
    </row>
    <row r="386" spans="1:13" ht="55.5" customHeight="1">
      <c r="A386" s="1271">
        <v>2885</v>
      </c>
      <c r="B386" s="1272" t="s">
        <v>67</v>
      </c>
      <c r="C386" s="1272" t="s">
        <v>744</v>
      </c>
      <c r="D386" s="1274" t="s">
        <v>745</v>
      </c>
      <c r="E386" s="1271" t="s">
        <v>55</v>
      </c>
      <c r="F386" s="1293">
        <v>9</v>
      </c>
      <c r="G386" s="1283">
        <v>50</v>
      </c>
      <c r="H386" s="1277">
        <v>62.5</v>
      </c>
      <c r="I386" s="1277">
        <v>450</v>
      </c>
      <c r="J386" s="1277">
        <v>562.5</v>
      </c>
      <c r="K386" s="1278">
        <f t="shared" ref="K386:K449" si="12">J386/$N$1</f>
        <v>7.3796035942160241E-5</v>
      </c>
      <c r="L386" s="1278">
        <f t="shared" si="11"/>
        <v>0.99210100543497792</v>
      </c>
      <c r="M386" s="1279" t="s">
        <v>2319</v>
      </c>
    </row>
    <row r="387" spans="1:13" ht="78" customHeight="1">
      <c r="A387" s="1271">
        <v>13110</v>
      </c>
      <c r="B387" s="1272" t="s">
        <v>67</v>
      </c>
      <c r="C387" s="1272" t="s">
        <v>1301</v>
      </c>
      <c r="D387" s="1274" t="s">
        <v>1302</v>
      </c>
      <c r="E387" s="1281" t="s">
        <v>55</v>
      </c>
      <c r="F387" s="1282">
        <v>4</v>
      </c>
      <c r="G387" s="1300">
        <v>111.45</v>
      </c>
      <c r="H387" s="1277">
        <v>139.3125</v>
      </c>
      <c r="I387" s="1277">
        <v>445.8</v>
      </c>
      <c r="J387" s="1277">
        <v>557.25</v>
      </c>
      <c r="K387" s="1278">
        <f t="shared" si="12"/>
        <v>7.3107272940033411E-5</v>
      </c>
      <c r="L387" s="1278">
        <f t="shared" si="11"/>
        <v>0.992174112707918</v>
      </c>
      <c r="M387" s="1279" t="s">
        <v>2319</v>
      </c>
    </row>
    <row r="388" spans="1:13" ht="28.5">
      <c r="A388" s="1271">
        <v>13113</v>
      </c>
      <c r="B388" s="1272" t="s">
        <v>67</v>
      </c>
      <c r="C388" s="1272" t="s">
        <v>1297</v>
      </c>
      <c r="D388" s="1274" t="s">
        <v>1298</v>
      </c>
      <c r="E388" s="1281" t="s">
        <v>55</v>
      </c>
      <c r="F388" s="1282">
        <v>2</v>
      </c>
      <c r="G388" s="1300">
        <v>221.45</v>
      </c>
      <c r="H388" s="1277">
        <v>276.8125</v>
      </c>
      <c r="I388" s="1277">
        <v>442.9</v>
      </c>
      <c r="J388" s="1277">
        <v>553.625</v>
      </c>
      <c r="K388" s="1278">
        <f t="shared" si="12"/>
        <v>7.2631698486183934E-5</v>
      </c>
      <c r="L388" s="1278">
        <f t="shared" ref="L388:L451" si="13">K388+L387</f>
        <v>0.99224674440640415</v>
      </c>
      <c r="M388" s="1279" t="s">
        <v>2319</v>
      </c>
    </row>
    <row r="389" spans="1:13" ht="43.5" customHeight="1">
      <c r="A389" s="1271">
        <v>13112</v>
      </c>
      <c r="B389" s="1272" t="s">
        <v>67</v>
      </c>
      <c r="C389" s="1272" t="s">
        <v>1299</v>
      </c>
      <c r="D389" s="1274" t="s">
        <v>1300</v>
      </c>
      <c r="E389" s="1281" t="s">
        <v>55</v>
      </c>
      <c r="F389" s="1282">
        <v>2</v>
      </c>
      <c r="G389" s="1300">
        <v>221.45</v>
      </c>
      <c r="H389" s="1277">
        <v>276.8125</v>
      </c>
      <c r="I389" s="1277">
        <v>442.9</v>
      </c>
      <c r="J389" s="1277">
        <v>553.625</v>
      </c>
      <c r="K389" s="1278">
        <f t="shared" si="12"/>
        <v>7.2631698486183934E-5</v>
      </c>
      <c r="L389" s="1278">
        <f t="shared" si="13"/>
        <v>0.99231937610489029</v>
      </c>
      <c r="M389" s="1279" t="s">
        <v>2319</v>
      </c>
    </row>
    <row r="390" spans="1:13" ht="43.5" customHeight="1">
      <c r="A390" s="1271">
        <v>9987</v>
      </c>
      <c r="B390" s="1272" t="s">
        <v>67</v>
      </c>
      <c r="C390" s="1272" t="s">
        <v>840</v>
      </c>
      <c r="D390" s="1274" t="s">
        <v>841</v>
      </c>
      <c r="E390" s="1271" t="s">
        <v>55</v>
      </c>
      <c r="F390" s="1293">
        <v>20</v>
      </c>
      <c r="G390" s="1283">
        <v>22.12</v>
      </c>
      <c r="H390" s="1277">
        <v>27.650000000000002</v>
      </c>
      <c r="I390" s="1277">
        <v>442.40000000000003</v>
      </c>
      <c r="J390" s="1277">
        <v>553</v>
      </c>
      <c r="K390" s="1278">
        <f t="shared" si="12"/>
        <v>7.2549702890692644E-5</v>
      </c>
      <c r="L390" s="1278">
        <f t="shared" si="13"/>
        <v>0.99239192580778102</v>
      </c>
      <c r="M390" s="1279" t="s">
        <v>2319</v>
      </c>
    </row>
    <row r="391" spans="1:13" ht="33.75" customHeight="1">
      <c r="A391" s="1285">
        <v>89854</v>
      </c>
      <c r="B391" s="1286" t="s">
        <v>26</v>
      </c>
      <c r="C391" s="1272" t="s">
        <v>550</v>
      </c>
      <c r="D391" s="1294" t="s">
        <v>551</v>
      </c>
      <c r="E391" s="1271" t="s">
        <v>96</v>
      </c>
      <c r="F391" s="1275">
        <v>4</v>
      </c>
      <c r="G391" s="1283">
        <v>109.96</v>
      </c>
      <c r="H391" s="1277">
        <v>137.44999999999999</v>
      </c>
      <c r="I391" s="1277">
        <v>439.84</v>
      </c>
      <c r="J391" s="1277">
        <v>549.79999999999995</v>
      </c>
      <c r="K391" s="1278">
        <f t="shared" si="12"/>
        <v>7.2129885441777231E-5</v>
      </c>
      <c r="L391" s="1278">
        <f t="shared" si="13"/>
        <v>0.99246405569322282</v>
      </c>
      <c r="M391" s="1279" t="s">
        <v>2319</v>
      </c>
    </row>
    <row r="392" spans="1:13" ht="42.75">
      <c r="A392" s="1281">
        <v>8058</v>
      </c>
      <c r="B392" s="1299" t="s">
        <v>67</v>
      </c>
      <c r="C392" s="1272" t="s">
        <v>680</v>
      </c>
      <c r="D392" s="1280" t="s">
        <v>681</v>
      </c>
      <c r="E392" s="1281" t="s">
        <v>55</v>
      </c>
      <c r="F392" s="1282">
        <v>1</v>
      </c>
      <c r="G392" s="1283">
        <v>431.04</v>
      </c>
      <c r="H392" s="1277">
        <v>538.80000000000007</v>
      </c>
      <c r="I392" s="1277">
        <v>431.04</v>
      </c>
      <c r="J392" s="1277">
        <v>538.80000000000007</v>
      </c>
      <c r="K392" s="1278">
        <f t="shared" si="12"/>
        <v>7.068676296113056E-5</v>
      </c>
      <c r="L392" s="1278">
        <f t="shared" si="13"/>
        <v>0.992534742456184</v>
      </c>
      <c r="M392" s="1279" t="s">
        <v>2319</v>
      </c>
    </row>
    <row r="393" spans="1:13" ht="45.75" customHeight="1">
      <c r="A393" s="1271" t="s">
        <v>2509</v>
      </c>
      <c r="B393" s="1272"/>
      <c r="C393" s="1272" t="s">
        <v>625</v>
      </c>
      <c r="D393" s="1280" t="s">
        <v>2510</v>
      </c>
      <c r="E393" s="1281" t="s">
        <v>55</v>
      </c>
      <c r="F393" s="1282">
        <v>1</v>
      </c>
      <c r="G393" s="1283">
        <v>423.72999999999996</v>
      </c>
      <c r="H393" s="1277">
        <v>529.66249999999991</v>
      </c>
      <c r="I393" s="1277">
        <v>423.72999999999996</v>
      </c>
      <c r="J393" s="1277">
        <v>529.66249999999991</v>
      </c>
      <c r="K393" s="1278">
        <f t="shared" si="12"/>
        <v>6.9487987355047894E-5</v>
      </c>
      <c r="L393" s="1278">
        <f t="shared" si="13"/>
        <v>0.99260423044353907</v>
      </c>
      <c r="M393" s="1279" t="s">
        <v>2319</v>
      </c>
    </row>
    <row r="394" spans="1:13" ht="36" customHeight="1">
      <c r="A394" s="1271">
        <v>8896</v>
      </c>
      <c r="B394" s="1272" t="s">
        <v>67</v>
      </c>
      <c r="C394" s="1272" t="s">
        <v>1079</v>
      </c>
      <c r="D394" s="1274" t="s">
        <v>1080</v>
      </c>
      <c r="E394" s="1271" t="s">
        <v>55</v>
      </c>
      <c r="F394" s="1293">
        <v>10</v>
      </c>
      <c r="G394" s="1283">
        <v>42.34</v>
      </c>
      <c r="H394" s="1277">
        <v>52.925000000000004</v>
      </c>
      <c r="I394" s="1277">
        <v>423.40000000000003</v>
      </c>
      <c r="J394" s="1277">
        <v>529.25</v>
      </c>
      <c r="K394" s="1278">
        <f t="shared" si="12"/>
        <v>6.9433870262023656E-5</v>
      </c>
      <c r="L394" s="1278">
        <f t="shared" si="13"/>
        <v>0.99267366431380111</v>
      </c>
      <c r="M394" s="1279" t="s">
        <v>2319</v>
      </c>
    </row>
    <row r="395" spans="1:13" ht="27" customHeight="1">
      <c r="A395" s="1271">
        <v>7657</v>
      </c>
      <c r="B395" s="1272" t="s">
        <v>67</v>
      </c>
      <c r="C395" s="1271" t="s">
        <v>1342</v>
      </c>
      <c r="D395" s="1274" t="s">
        <v>1343</v>
      </c>
      <c r="E395" s="1281" t="s">
        <v>246</v>
      </c>
      <c r="F395" s="1282">
        <v>27.37</v>
      </c>
      <c r="G395" s="1304">
        <v>15.4</v>
      </c>
      <c r="H395" s="1304">
        <v>19.25</v>
      </c>
      <c r="I395" s="1304">
        <v>421.49800000000005</v>
      </c>
      <c r="J395" s="1304">
        <v>526.87250000000006</v>
      </c>
      <c r="K395" s="1278">
        <f t="shared" si="12"/>
        <v>6.9121959016774797E-5</v>
      </c>
      <c r="L395" s="1278">
        <f t="shared" si="13"/>
        <v>0.99274278627281787</v>
      </c>
      <c r="M395" s="1279" t="s">
        <v>2319</v>
      </c>
    </row>
    <row r="396" spans="1:13" ht="28.5">
      <c r="A396" s="1271">
        <v>8082</v>
      </c>
      <c r="B396" s="1272" t="s">
        <v>67</v>
      </c>
      <c r="C396" s="1272" t="s">
        <v>926</v>
      </c>
      <c r="D396" s="1274" t="s">
        <v>927</v>
      </c>
      <c r="E396" s="1271" t="s">
        <v>170</v>
      </c>
      <c r="F396" s="1293">
        <v>3.55</v>
      </c>
      <c r="G396" s="1283">
        <v>115.09</v>
      </c>
      <c r="H396" s="1277">
        <v>143.86250000000001</v>
      </c>
      <c r="I396" s="1277">
        <v>408.56950000000001</v>
      </c>
      <c r="J396" s="1277">
        <v>510.71187500000002</v>
      </c>
      <c r="K396" s="1278">
        <f t="shared" si="12"/>
        <v>6.7001798904156525E-5</v>
      </c>
      <c r="L396" s="1278">
        <f t="shared" si="13"/>
        <v>0.99280978807172204</v>
      </c>
      <c r="M396" s="1279" t="s">
        <v>2319</v>
      </c>
    </row>
    <row r="397" spans="1:13" ht="28.5">
      <c r="A397" s="1271">
        <v>9669</v>
      </c>
      <c r="B397" s="1272" t="s">
        <v>67</v>
      </c>
      <c r="C397" s="1272" t="s">
        <v>684</v>
      </c>
      <c r="D397" s="1280" t="s">
        <v>685</v>
      </c>
      <c r="E397" s="1281" t="s">
        <v>55</v>
      </c>
      <c r="F397" s="1282">
        <v>7</v>
      </c>
      <c r="G397" s="1283">
        <v>58.15</v>
      </c>
      <c r="H397" s="1277">
        <v>72.6875</v>
      </c>
      <c r="I397" s="1277">
        <v>407.05</v>
      </c>
      <c r="J397" s="1277">
        <v>508.8125</v>
      </c>
      <c r="K397" s="1278">
        <f t="shared" si="12"/>
        <v>6.6752614289458494E-5</v>
      </c>
      <c r="L397" s="1278">
        <f t="shared" si="13"/>
        <v>0.9928765406860115</v>
      </c>
      <c r="M397" s="1279" t="s">
        <v>2319</v>
      </c>
    </row>
    <row r="398" spans="1:13">
      <c r="A398" s="1271">
        <v>1482</v>
      </c>
      <c r="B398" s="1272" t="s">
        <v>67</v>
      </c>
      <c r="C398" s="1272" t="s">
        <v>617</v>
      </c>
      <c r="D398" s="1280" t="s">
        <v>618</v>
      </c>
      <c r="E398" s="1281" t="s">
        <v>55</v>
      </c>
      <c r="F398" s="1282">
        <v>4</v>
      </c>
      <c r="G398" s="1283">
        <v>99.12</v>
      </c>
      <c r="H398" s="1277">
        <v>123.9</v>
      </c>
      <c r="I398" s="1277">
        <v>396.48</v>
      </c>
      <c r="J398" s="1277">
        <v>495.6</v>
      </c>
      <c r="K398" s="1278">
        <f t="shared" si="12"/>
        <v>6.5019227400772646E-5</v>
      </c>
      <c r="L398" s="1278">
        <f t="shared" si="13"/>
        <v>0.99294155991341226</v>
      </c>
      <c r="M398" s="1279" t="s">
        <v>2319</v>
      </c>
    </row>
    <row r="399" spans="1:13">
      <c r="A399" s="1271" t="s">
        <v>815</v>
      </c>
      <c r="B399" s="1272" t="s">
        <v>67</v>
      </c>
      <c r="C399" s="1272" t="s">
        <v>816</v>
      </c>
      <c r="D399" s="1274" t="s">
        <v>817</v>
      </c>
      <c r="E399" s="1271" t="s">
        <v>55</v>
      </c>
      <c r="F399" s="1293">
        <v>2</v>
      </c>
      <c r="G399" s="1283">
        <v>198</v>
      </c>
      <c r="H399" s="1277">
        <v>247.5</v>
      </c>
      <c r="I399" s="1277">
        <v>396</v>
      </c>
      <c r="J399" s="1277">
        <v>495</v>
      </c>
      <c r="K399" s="1278">
        <f t="shared" si="12"/>
        <v>6.4940511629101009E-5</v>
      </c>
      <c r="L399" s="1278">
        <f t="shared" si="13"/>
        <v>0.99300650042504135</v>
      </c>
      <c r="M399" s="1279" t="s">
        <v>2319</v>
      </c>
    </row>
    <row r="400" spans="1:13">
      <c r="A400" s="1271">
        <v>4136</v>
      </c>
      <c r="B400" s="1272" t="s">
        <v>67</v>
      </c>
      <c r="C400" s="1272" t="s">
        <v>764</v>
      </c>
      <c r="D400" s="1274" t="s">
        <v>765</v>
      </c>
      <c r="E400" s="1271" t="s">
        <v>55</v>
      </c>
      <c r="F400" s="1293">
        <v>20</v>
      </c>
      <c r="G400" s="1283">
        <v>19.649999999999999</v>
      </c>
      <c r="H400" s="1277">
        <v>24.5625</v>
      </c>
      <c r="I400" s="1277">
        <v>393</v>
      </c>
      <c r="J400" s="1277">
        <v>491.25</v>
      </c>
      <c r="K400" s="1278">
        <f t="shared" si="12"/>
        <v>6.4448538056153279E-5</v>
      </c>
      <c r="L400" s="1278">
        <f t="shared" si="13"/>
        <v>0.99307094896309756</v>
      </c>
      <c r="M400" s="1279" t="s">
        <v>2319</v>
      </c>
    </row>
    <row r="401" spans="1:13">
      <c r="A401" s="1271">
        <v>1172</v>
      </c>
      <c r="B401" s="1272" t="s">
        <v>67</v>
      </c>
      <c r="C401" s="1272" t="s">
        <v>514</v>
      </c>
      <c r="D401" s="1294" t="s">
        <v>515</v>
      </c>
      <c r="E401" s="1271" t="s">
        <v>55</v>
      </c>
      <c r="F401" s="1275">
        <v>8</v>
      </c>
      <c r="G401" s="1283">
        <v>48.51</v>
      </c>
      <c r="H401" s="1277">
        <v>60.637499999999996</v>
      </c>
      <c r="I401" s="1277">
        <v>388.08</v>
      </c>
      <c r="J401" s="1277">
        <v>485.09999999999997</v>
      </c>
      <c r="K401" s="1278">
        <f t="shared" si="12"/>
        <v>6.3641701396518986E-5</v>
      </c>
      <c r="L401" s="1278">
        <f t="shared" si="13"/>
        <v>0.99313459066449405</v>
      </c>
      <c r="M401" s="1279" t="s">
        <v>2319</v>
      </c>
    </row>
    <row r="402" spans="1:13" ht="28.5">
      <c r="A402" s="1271">
        <v>93671</v>
      </c>
      <c r="B402" s="1272" t="s">
        <v>26</v>
      </c>
      <c r="C402" s="1272" t="s">
        <v>882</v>
      </c>
      <c r="D402" s="1274" t="s">
        <v>883</v>
      </c>
      <c r="E402" s="1271" t="s">
        <v>55</v>
      </c>
      <c r="F402" s="1293">
        <v>4</v>
      </c>
      <c r="G402" s="1283">
        <v>95.35</v>
      </c>
      <c r="H402" s="1277">
        <v>119.1875</v>
      </c>
      <c r="I402" s="1277">
        <v>381.4</v>
      </c>
      <c r="J402" s="1277">
        <v>476.75</v>
      </c>
      <c r="K402" s="1278">
        <f t="shared" si="12"/>
        <v>6.254624024075537E-5</v>
      </c>
      <c r="L402" s="1278">
        <f t="shared" si="13"/>
        <v>0.99319713690473477</v>
      </c>
      <c r="M402" s="1279" t="s">
        <v>2319</v>
      </c>
    </row>
    <row r="403" spans="1:13" ht="42.75">
      <c r="A403" s="1271">
        <v>91917</v>
      </c>
      <c r="B403" s="1272" t="s">
        <v>26</v>
      </c>
      <c r="C403" s="1272" t="s">
        <v>1120</v>
      </c>
      <c r="D403" s="1274" t="s">
        <v>1042</v>
      </c>
      <c r="E403" s="1271" t="s">
        <v>55</v>
      </c>
      <c r="F403" s="1293">
        <v>20</v>
      </c>
      <c r="G403" s="1283">
        <v>18.61</v>
      </c>
      <c r="H403" s="1277">
        <v>23.262499999999999</v>
      </c>
      <c r="I403" s="1277">
        <v>372.2</v>
      </c>
      <c r="J403" s="1277">
        <v>465.25</v>
      </c>
      <c r="K403" s="1278">
        <f t="shared" si="12"/>
        <v>6.1037521283715648E-5</v>
      </c>
      <c r="L403" s="1278">
        <f t="shared" si="13"/>
        <v>0.99325817442601849</v>
      </c>
      <c r="M403" s="1279" t="s">
        <v>2319</v>
      </c>
    </row>
    <row r="404" spans="1:13" ht="28.5">
      <c r="A404" s="1271">
        <v>666</v>
      </c>
      <c r="B404" s="1272" t="s">
        <v>67</v>
      </c>
      <c r="C404" s="1272" t="s">
        <v>853</v>
      </c>
      <c r="D404" s="1274" t="s">
        <v>854</v>
      </c>
      <c r="E404" s="1271" t="s">
        <v>55</v>
      </c>
      <c r="F404" s="1293">
        <v>4</v>
      </c>
      <c r="G404" s="1283">
        <v>92</v>
      </c>
      <c r="H404" s="1277">
        <v>115</v>
      </c>
      <c r="I404" s="1277">
        <v>368</v>
      </c>
      <c r="J404" s="1277">
        <v>460</v>
      </c>
      <c r="K404" s="1278">
        <f t="shared" si="12"/>
        <v>6.0348758281588818E-5</v>
      </c>
      <c r="L404" s="1278">
        <f t="shared" si="13"/>
        <v>0.99331852318430003</v>
      </c>
      <c r="M404" s="1279" t="s">
        <v>2319</v>
      </c>
    </row>
    <row r="405" spans="1:13" ht="42.75">
      <c r="A405" s="1271">
        <v>8362</v>
      </c>
      <c r="B405" s="1272" t="s">
        <v>67</v>
      </c>
      <c r="C405" s="1272" t="s">
        <v>1086</v>
      </c>
      <c r="D405" s="1274" t="s">
        <v>1087</v>
      </c>
      <c r="E405" s="1271" t="s">
        <v>55</v>
      </c>
      <c r="F405" s="1293">
        <v>16</v>
      </c>
      <c r="G405" s="1283">
        <v>22.96</v>
      </c>
      <c r="H405" s="1277">
        <v>28.700000000000003</v>
      </c>
      <c r="I405" s="1277">
        <v>367.36</v>
      </c>
      <c r="J405" s="1277">
        <v>459.20000000000005</v>
      </c>
      <c r="K405" s="1278">
        <f t="shared" si="12"/>
        <v>6.0243803919359968E-5</v>
      </c>
      <c r="L405" s="1278">
        <f t="shared" si="13"/>
        <v>0.99337876698821936</v>
      </c>
      <c r="M405" s="1279" t="s">
        <v>2319</v>
      </c>
    </row>
    <row r="406" spans="1:13" ht="28.5">
      <c r="A406" s="1271">
        <v>93670</v>
      </c>
      <c r="B406" s="1272" t="s">
        <v>26</v>
      </c>
      <c r="C406" s="1271" t="s">
        <v>1051</v>
      </c>
      <c r="D406" s="1274" t="s">
        <v>881</v>
      </c>
      <c r="E406" s="1271" t="s">
        <v>55</v>
      </c>
      <c r="F406" s="1293">
        <v>4</v>
      </c>
      <c r="G406" s="1283">
        <v>90.97</v>
      </c>
      <c r="H406" s="1277">
        <v>113.71250000000001</v>
      </c>
      <c r="I406" s="1277">
        <v>363.88</v>
      </c>
      <c r="J406" s="1277">
        <v>454.85</v>
      </c>
      <c r="K406" s="1278">
        <f t="shared" si="12"/>
        <v>5.9673114574740594E-5</v>
      </c>
      <c r="L406" s="1278">
        <f t="shared" si="13"/>
        <v>0.99343844010279414</v>
      </c>
      <c r="M406" s="1279" t="s">
        <v>2319</v>
      </c>
    </row>
    <row r="407" spans="1:13">
      <c r="A407" s="1271">
        <v>3201</v>
      </c>
      <c r="B407" s="1271" t="s">
        <v>67</v>
      </c>
      <c r="C407" s="1299" t="s">
        <v>495</v>
      </c>
      <c r="D407" s="1294" t="s">
        <v>496</v>
      </c>
      <c r="E407" s="1271" t="s">
        <v>55</v>
      </c>
      <c r="F407" s="1275">
        <v>12</v>
      </c>
      <c r="G407" s="1283">
        <v>30.15</v>
      </c>
      <c r="H407" s="1283">
        <v>37.6875</v>
      </c>
      <c r="I407" s="1283">
        <v>361.79999999999995</v>
      </c>
      <c r="J407" s="1283">
        <v>452.25</v>
      </c>
      <c r="K407" s="1278">
        <f t="shared" si="12"/>
        <v>5.9332012897496832E-5</v>
      </c>
      <c r="L407" s="1278">
        <f t="shared" si="13"/>
        <v>0.99349777211569168</v>
      </c>
      <c r="M407" s="1279" t="s">
        <v>2319</v>
      </c>
    </row>
    <row r="408" spans="1:13">
      <c r="A408" s="1271">
        <v>9953</v>
      </c>
      <c r="B408" s="1272" t="s">
        <v>67</v>
      </c>
      <c r="C408" s="1272" t="s">
        <v>979</v>
      </c>
      <c r="D408" s="1274" t="s">
        <v>980</v>
      </c>
      <c r="E408" s="1271" t="s">
        <v>55</v>
      </c>
      <c r="F408" s="1293">
        <v>18</v>
      </c>
      <c r="G408" s="1283">
        <v>20</v>
      </c>
      <c r="H408" s="1277">
        <v>25</v>
      </c>
      <c r="I408" s="1277">
        <v>360</v>
      </c>
      <c r="J408" s="1277">
        <v>450</v>
      </c>
      <c r="K408" s="1278">
        <f t="shared" si="12"/>
        <v>5.9036828753728189E-5</v>
      </c>
      <c r="L408" s="1278">
        <f t="shared" si="13"/>
        <v>0.99355680894444542</v>
      </c>
      <c r="M408" s="1279" t="s">
        <v>2319</v>
      </c>
    </row>
    <row r="409" spans="1:13" ht="26.45" customHeight="1">
      <c r="A409" s="1271">
        <v>9277</v>
      </c>
      <c r="B409" s="1272" t="s">
        <v>67</v>
      </c>
      <c r="C409" s="1272" t="s">
        <v>796</v>
      </c>
      <c r="D409" s="1274" t="s">
        <v>797</v>
      </c>
      <c r="E409" s="1271" t="s">
        <v>246</v>
      </c>
      <c r="F409" s="1293">
        <v>6</v>
      </c>
      <c r="G409" s="1283">
        <v>59.87</v>
      </c>
      <c r="H409" s="1277">
        <v>74.837499999999991</v>
      </c>
      <c r="I409" s="1277">
        <v>359.21999999999997</v>
      </c>
      <c r="J409" s="1277">
        <v>449.02499999999998</v>
      </c>
      <c r="K409" s="1278">
        <f t="shared" si="12"/>
        <v>5.8908915624761773E-5</v>
      </c>
      <c r="L409" s="1278">
        <f t="shared" si="13"/>
        <v>0.99361571786007019</v>
      </c>
      <c r="M409" s="1279" t="s">
        <v>2319</v>
      </c>
    </row>
    <row r="410" spans="1:13">
      <c r="A410" s="1271">
        <v>9526</v>
      </c>
      <c r="B410" s="1272" t="s">
        <v>67</v>
      </c>
      <c r="C410" s="1272" t="s">
        <v>686</v>
      </c>
      <c r="D410" s="1280" t="s">
        <v>687</v>
      </c>
      <c r="E410" s="1281" t="s">
        <v>55</v>
      </c>
      <c r="F410" s="1282">
        <v>30</v>
      </c>
      <c r="G410" s="1283">
        <v>11.95</v>
      </c>
      <c r="H410" s="1277">
        <v>14.9375</v>
      </c>
      <c r="I410" s="1277">
        <v>358.5</v>
      </c>
      <c r="J410" s="1277">
        <v>448.125</v>
      </c>
      <c r="K410" s="1278">
        <f t="shared" si="12"/>
        <v>5.8790841967254324E-5</v>
      </c>
      <c r="L410" s="1278">
        <f t="shared" si="13"/>
        <v>0.99367450870203744</v>
      </c>
      <c r="M410" s="1279" t="s">
        <v>2319</v>
      </c>
    </row>
    <row r="411" spans="1:13" ht="20.45" customHeight="1">
      <c r="A411" s="1271">
        <v>89810</v>
      </c>
      <c r="B411" s="1272" t="s">
        <v>26</v>
      </c>
      <c r="C411" s="1272" t="s">
        <v>536</v>
      </c>
      <c r="D411" s="1294" t="s">
        <v>537</v>
      </c>
      <c r="E411" s="1271" t="s">
        <v>96</v>
      </c>
      <c r="F411" s="1275">
        <v>12</v>
      </c>
      <c r="G411" s="1283">
        <v>29.53</v>
      </c>
      <c r="H411" s="1277">
        <v>36.912500000000001</v>
      </c>
      <c r="I411" s="1277">
        <v>354.36</v>
      </c>
      <c r="J411" s="1277">
        <v>442.95000000000005</v>
      </c>
      <c r="K411" s="1278">
        <f t="shared" si="12"/>
        <v>5.8111918436586454E-5</v>
      </c>
      <c r="L411" s="1278">
        <f t="shared" si="13"/>
        <v>0.99373262062047407</v>
      </c>
      <c r="M411" s="1279" t="s">
        <v>2319</v>
      </c>
    </row>
    <row r="412" spans="1:13" ht="28.5">
      <c r="A412" s="1271">
        <v>1472</v>
      </c>
      <c r="B412" s="1272" t="s">
        <v>67</v>
      </c>
      <c r="C412" s="1272" t="s">
        <v>615</v>
      </c>
      <c r="D412" s="1280" t="s">
        <v>616</v>
      </c>
      <c r="E412" s="1281" t="s">
        <v>55</v>
      </c>
      <c r="F412" s="1282">
        <v>1</v>
      </c>
      <c r="G412" s="1283">
        <v>350.8</v>
      </c>
      <c r="H412" s="1277">
        <v>438.5</v>
      </c>
      <c r="I412" s="1277">
        <v>350.8</v>
      </c>
      <c r="J412" s="1277">
        <v>438.5</v>
      </c>
      <c r="K412" s="1278">
        <f t="shared" si="12"/>
        <v>5.7528109796688467E-5</v>
      </c>
      <c r="L412" s="1278">
        <f t="shared" si="13"/>
        <v>0.99379014873027072</v>
      </c>
      <c r="M412" s="1279" t="s">
        <v>2319</v>
      </c>
    </row>
    <row r="413" spans="1:13" ht="28.5">
      <c r="A413" s="1295">
        <v>9669</v>
      </c>
      <c r="B413" s="1272" t="s">
        <v>67</v>
      </c>
      <c r="C413" s="1272" t="s">
        <v>1151</v>
      </c>
      <c r="D413" s="1274" t="s">
        <v>685</v>
      </c>
      <c r="E413" s="1271" t="s">
        <v>55</v>
      </c>
      <c r="F413" s="1293">
        <v>6</v>
      </c>
      <c r="G413" s="1283">
        <v>58.15</v>
      </c>
      <c r="H413" s="1277">
        <v>72.6875</v>
      </c>
      <c r="I413" s="1277">
        <v>348.9</v>
      </c>
      <c r="J413" s="1277">
        <v>436.125</v>
      </c>
      <c r="K413" s="1278">
        <f t="shared" si="12"/>
        <v>5.7216526533821571E-5</v>
      </c>
      <c r="L413" s="1278">
        <f t="shared" si="13"/>
        <v>0.9938473652568045</v>
      </c>
      <c r="M413" s="1279" t="s">
        <v>2319</v>
      </c>
    </row>
    <row r="414" spans="1:13" ht="43.5">
      <c r="A414" s="1271">
        <v>91967</v>
      </c>
      <c r="B414" s="1272" t="s">
        <v>26</v>
      </c>
      <c r="C414" s="1271" t="s">
        <v>1018</v>
      </c>
      <c r="D414" s="1301" t="s">
        <v>1019</v>
      </c>
      <c r="E414" s="1271" t="s">
        <v>55</v>
      </c>
      <c r="F414" s="1293">
        <v>6</v>
      </c>
      <c r="G414" s="1283">
        <v>57.68</v>
      </c>
      <c r="H414" s="1277">
        <v>72.099999999999994</v>
      </c>
      <c r="I414" s="1277">
        <v>346.08</v>
      </c>
      <c r="J414" s="1277">
        <v>432.59999999999997</v>
      </c>
      <c r="K414" s="1278">
        <f t="shared" si="12"/>
        <v>5.6754071375250693E-5</v>
      </c>
      <c r="L414" s="1278">
        <f t="shared" si="13"/>
        <v>0.99390411932817979</v>
      </c>
      <c r="M414" s="1279" t="s">
        <v>2319</v>
      </c>
    </row>
    <row r="415" spans="1:13" ht="42.75">
      <c r="A415" s="1271">
        <v>89530</v>
      </c>
      <c r="B415" s="1272" t="s">
        <v>26</v>
      </c>
      <c r="C415" s="1272" t="s">
        <v>477</v>
      </c>
      <c r="D415" s="1294" t="s">
        <v>478</v>
      </c>
      <c r="E415" s="1271" t="s">
        <v>55</v>
      </c>
      <c r="F415" s="1275">
        <v>20</v>
      </c>
      <c r="G415" s="1283">
        <v>17.3</v>
      </c>
      <c r="H415" s="1277">
        <v>21.625</v>
      </c>
      <c r="I415" s="1277">
        <v>346</v>
      </c>
      <c r="J415" s="1277">
        <v>432.5</v>
      </c>
      <c r="K415" s="1278">
        <f t="shared" si="12"/>
        <v>5.6740952079972094E-5</v>
      </c>
      <c r="L415" s="1278">
        <f t="shared" si="13"/>
        <v>0.99396086028025976</v>
      </c>
      <c r="M415" s="1279" t="s">
        <v>2319</v>
      </c>
    </row>
    <row r="416" spans="1:13" ht="26.45" customHeight="1">
      <c r="A416" s="1271">
        <v>9832</v>
      </c>
      <c r="B416" s="1272" t="s">
        <v>67</v>
      </c>
      <c r="C416" s="1272" t="s">
        <v>1165</v>
      </c>
      <c r="D416" s="1274" t="s">
        <v>1164</v>
      </c>
      <c r="E416" s="1271" t="s">
        <v>55</v>
      </c>
      <c r="F416" s="1293">
        <v>320</v>
      </c>
      <c r="G416" s="1283">
        <v>1.08</v>
      </c>
      <c r="H416" s="1277">
        <v>1.35</v>
      </c>
      <c r="I416" s="1277">
        <v>345.6</v>
      </c>
      <c r="J416" s="1277">
        <v>432</v>
      </c>
      <c r="K416" s="1278">
        <f t="shared" si="12"/>
        <v>5.6675355603579063E-5</v>
      </c>
      <c r="L416" s="1278">
        <f t="shared" si="13"/>
        <v>0.99401753563586337</v>
      </c>
      <c r="M416" s="1279" t="s">
        <v>2319</v>
      </c>
    </row>
    <row r="417" spans="1:13" ht="28.5">
      <c r="A417" s="1271">
        <v>99629</v>
      </c>
      <c r="B417" s="1272" t="s">
        <v>26</v>
      </c>
      <c r="C417" s="1272" t="s">
        <v>619</v>
      </c>
      <c r="D417" s="1280" t="s">
        <v>620</v>
      </c>
      <c r="E417" s="1281" t="s">
        <v>55</v>
      </c>
      <c r="F417" s="1282">
        <v>4</v>
      </c>
      <c r="G417" s="1283">
        <v>85.96</v>
      </c>
      <c r="H417" s="1277">
        <v>107.44999999999999</v>
      </c>
      <c r="I417" s="1277">
        <v>343.84</v>
      </c>
      <c r="J417" s="1277">
        <v>429.79999999999995</v>
      </c>
      <c r="K417" s="1278">
        <f t="shared" si="12"/>
        <v>5.6386731107449719E-5</v>
      </c>
      <c r="L417" s="1278">
        <f t="shared" si="13"/>
        <v>0.99407392236697079</v>
      </c>
      <c r="M417" s="1279" t="s">
        <v>2319</v>
      </c>
    </row>
    <row r="418" spans="1:13" ht="42.75">
      <c r="A418" s="1271">
        <v>89367</v>
      </c>
      <c r="B418" s="1272" t="s">
        <v>26</v>
      </c>
      <c r="C418" s="1272" t="s">
        <v>467</v>
      </c>
      <c r="D418" s="1294" t="s">
        <v>468</v>
      </c>
      <c r="E418" s="1271" t="s">
        <v>55</v>
      </c>
      <c r="F418" s="1275">
        <v>28</v>
      </c>
      <c r="G418" s="1283">
        <v>12.22</v>
      </c>
      <c r="H418" s="1277">
        <v>15.275</v>
      </c>
      <c r="I418" s="1277">
        <v>342.16</v>
      </c>
      <c r="J418" s="1277">
        <v>427.7</v>
      </c>
      <c r="K418" s="1278">
        <f t="shared" si="12"/>
        <v>5.6111225906598988E-5</v>
      </c>
      <c r="L418" s="1278">
        <f t="shared" si="13"/>
        <v>0.99413003359287744</v>
      </c>
      <c r="M418" s="1279" t="s">
        <v>2319</v>
      </c>
    </row>
    <row r="419" spans="1:13" ht="30.75" customHeight="1">
      <c r="A419" s="1285">
        <v>89731</v>
      </c>
      <c r="B419" s="1286" t="s">
        <v>26</v>
      </c>
      <c r="C419" s="1272" t="s">
        <v>548</v>
      </c>
      <c r="D419" s="1294" t="s">
        <v>549</v>
      </c>
      <c r="E419" s="1271" t="s">
        <v>96</v>
      </c>
      <c r="F419" s="1275">
        <v>23</v>
      </c>
      <c r="G419" s="1283">
        <v>14.81</v>
      </c>
      <c r="H419" s="1277">
        <v>18.512499999999999</v>
      </c>
      <c r="I419" s="1277">
        <v>340.63</v>
      </c>
      <c r="J419" s="1277">
        <v>425.78749999999997</v>
      </c>
      <c r="K419" s="1278">
        <f t="shared" si="12"/>
        <v>5.5860319384395643E-5</v>
      </c>
      <c r="L419" s="1278">
        <f t="shared" si="13"/>
        <v>0.99418589391226186</v>
      </c>
      <c r="M419" s="1279" t="s">
        <v>2319</v>
      </c>
    </row>
    <row r="420" spans="1:13" ht="30.75" customHeight="1">
      <c r="A420" s="1271">
        <v>1161</v>
      </c>
      <c r="B420" s="1272" t="s">
        <v>67</v>
      </c>
      <c r="C420" s="1272" t="s">
        <v>491</v>
      </c>
      <c r="D420" s="1294" t="s">
        <v>492</v>
      </c>
      <c r="E420" s="1271" t="s">
        <v>55</v>
      </c>
      <c r="F420" s="1275">
        <v>16</v>
      </c>
      <c r="G420" s="1283">
        <v>21.25</v>
      </c>
      <c r="H420" s="1277">
        <v>26.5625</v>
      </c>
      <c r="I420" s="1277">
        <v>340</v>
      </c>
      <c r="J420" s="1277">
        <v>425</v>
      </c>
      <c r="K420" s="1278">
        <f t="shared" si="12"/>
        <v>5.575700493407662E-5</v>
      </c>
      <c r="L420" s="1278">
        <f t="shared" si="13"/>
        <v>0.99424165091719596</v>
      </c>
      <c r="M420" s="1279" t="s">
        <v>2319</v>
      </c>
    </row>
    <row r="421" spans="1:13">
      <c r="A421" s="1271">
        <v>1173</v>
      </c>
      <c r="B421" s="1272" t="s">
        <v>67</v>
      </c>
      <c r="C421" s="1272" t="s">
        <v>516</v>
      </c>
      <c r="D421" s="1294" t="s">
        <v>517</v>
      </c>
      <c r="E421" s="1271" t="s">
        <v>55</v>
      </c>
      <c r="F421" s="1275">
        <v>4</v>
      </c>
      <c r="G421" s="1283">
        <v>84.46</v>
      </c>
      <c r="H421" s="1277">
        <v>105.57499999999999</v>
      </c>
      <c r="I421" s="1277">
        <v>337.84</v>
      </c>
      <c r="J421" s="1277">
        <v>422.29999999999995</v>
      </c>
      <c r="K421" s="1278">
        <f t="shared" si="12"/>
        <v>5.5402783961554246E-5</v>
      </c>
      <c r="L421" s="1278">
        <f t="shared" si="13"/>
        <v>0.99429705370115751</v>
      </c>
      <c r="M421" s="1279" t="s">
        <v>2319</v>
      </c>
    </row>
    <row r="422" spans="1:13" ht="28.5">
      <c r="A422" s="1295">
        <v>10024</v>
      </c>
      <c r="B422" s="1295" t="s">
        <v>67</v>
      </c>
      <c r="C422" s="1273" t="s">
        <v>1261</v>
      </c>
      <c r="D422" s="1274" t="s">
        <v>1262</v>
      </c>
      <c r="E422" s="1271" t="s">
        <v>246</v>
      </c>
      <c r="F422" s="1293">
        <v>15</v>
      </c>
      <c r="G422" s="1283">
        <v>22.49</v>
      </c>
      <c r="H422" s="1277">
        <v>28.112499999999997</v>
      </c>
      <c r="I422" s="1313">
        <v>337.34999999999997</v>
      </c>
      <c r="J422" s="1313">
        <v>421.68749999999994</v>
      </c>
      <c r="K422" s="1278">
        <f t="shared" si="12"/>
        <v>5.5322428277972782E-5</v>
      </c>
      <c r="L422" s="1278">
        <f t="shared" si="13"/>
        <v>0.9943523761294355</v>
      </c>
      <c r="M422" s="1279" t="s">
        <v>2319</v>
      </c>
    </row>
    <row r="423" spans="1:13" ht="22.9" customHeight="1">
      <c r="A423" s="1295">
        <v>10793</v>
      </c>
      <c r="B423" s="1307" t="s">
        <v>67</v>
      </c>
      <c r="C423" s="1272" t="s">
        <v>1103</v>
      </c>
      <c r="D423" s="1274" t="s">
        <v>1104</v>
      </c>
      <c r="E423" s="1271" t="s">
        <v>55</v>
      </c>
      <c r="F423" s="1293">
        <v>25</v>
      </c>
      <c r="G423" s="1283">
        <v>13.44</v>
      </c>
      <c r="H423" s="1277">
        <v>16.8</v>
      </c>
      <c r="I423" s="1277">
        <v>336</v>
      </c>
      <c r="J423" s="1277">
        <v>420</v>
      </c>
      <c r="K423" s="1278">
        <f t="shared" si="12"/>
        <v>5.5101040170146309E-5</v>
      </c>
      <c r="L423" s="1278">
        <f t="shared" si="13"/>
        <v>0.99440747716960565</v>
      </c>
      <c r="M423" s="1279" t="s">
        <v>2319</v>
      </c>
    </row>
    <row r="424" spans="1:13">
      <c r="A424" s="1271">
        <v>354</v>
      </c>
      <c r="B424" s="1272" t="s">
        <v>67</v>
      </c>
      <c r="C424" s="1271" t="s">
        <v>1036</v>
      </c>
      <c r="D424" s="1274" t="s">
        <v>905</v>
      </c>
      <c r="E424" s="1271" t="s">
        <v>246</v>
      </c>
      <c r="F424" s="1293">
        <v>20</v>
      </c>
      <c r="G424" s="1283">
        <v>16.690000000000001</v>
      </c>
      <c r="H424" s="1277">
        <v>20.862500000000001</v>
      </c>
      <c r="I424" s="1277">
        <v>333.8</v>
      </c>
      <c r="J424" s="1277">
        <v>417.25</v>
      </c>
      <c r="K424" s="1278">
        <f t="shared" si="12"/>
        <v>5.4740259549984635E-5</v>
      </c>
      <c r="L424" s="1278">
        <f t="shared" si="13"/>
        <v>0.99446221742915564</v>
      </c>
      <c r="M424" s="1279" t="s">
        <v>2319</v>
      </c>
    </row>
    <row r="425" spans="1:13" ht="42.75">
      <c r="A425" s="1271">
        <v>11747</v>
      </c>
      <c r="B425" s="1272" t="s">
        <v>67</v>
      </c>
      <c r="C425" s="1271" t="s">
        <v>639</v>
      </c>
      <c r="D425" s="1280" t="s">
        <v>640</v>
      </c>
      <c r="E425" s="1281" t="s">
        <v>96</v>
      </c>
      <c r="F425" s="1282">
        <v>1</v>
      </c>
      <c r="G425" s="1283">
        <v>327.16000000000003</v>
      </c>
      <c r="H425" s="1277">
        <v>408.95000000000005</v>
      </c>
      <c r="I425" s="1277">
        <v>327.16000000000003</v>
      </c>
      <c r="J425" s="1277">
        <v>408.95000000000005</v>
      </c>
      <c r="K425" s="1278">
        <f t="shared" si="12"/>
        <v>5.3651358041860325E-5</v>
      </c>
      <c r="L425" s="1278">
        <f t="shared" si="13"/>
        <v>0.99451586878719744</v>
      </c>
      <c r="M425" s="1279" t="s">
        <v>2319</v>
      </c>
    </row>
    <row r="426" spans="1:13">
      <c r="A426" s="1285">
        <v>3404</v>
      </c>
      <c r="B426" s="1286" t="s">
        <v>67</v>
      </c>
      <c r="C426" s="1272" t="s">
        <v>603</v>
      </c>
      <c r="D426" s="1294" t="s">
        <v>604</v>
      </c>
      <c r="E426" s="1271" t="s">
        <v>96</v>
      </c>
      <c r="F426" s="1275">
        <v>78</v>
      </c>
      <c r="G426" s="1283">
        <v>4.16</v>
      </c>
      <c r="H426" s="1277">
        <v>5.2</v>
      </c>
      <c r="I426" s="1277">
        <v>324.48</v>
      </c>
      <c r="J426" s="1277">
        <v>405.6</v>
      </c>
      <c r="K426" s="1278">
        <f t="shared" si="12"/>
        <v>5.3211861650027014E-5</v>
      </c>
      <c r="L426" s="1278">
        <f t="shared" si="13"/>
        <v>0.99456908064884753</v>
      </c>
      <c r="M426" s="1279" t="s">
        <v>2319</v>
      </c>
    </row>
    <row r="427" spans="1:13" ht="28.5">
      <c r="A427" s="1285">
        <v>1531</v>
      </c>
      <c r="B427" s="1286" t="s">
        <v>67</v>
      </c>
      <c r="C427" s="1272" t="s">
        <v>585</v>
      </c>
      <c r="D427" s="1294" t="s">
        <v>586</v>
      </c>
      <c r="E427" s="1271" t="s">
        <v>246</v>
      </c>
      <c r="F427" s="1275">
        <v>12</v>
      </c>
      <c r="G427" s="1283">
        <v>26.83</v>
      </c>
      <c r="H427" s="1277">
        <v>33.537499999999994</v>
      </c>
      <c r="I427" s="1277">
        <v>321.95999999999998</v>
      </c>
      <c r="J427" s="1277">
        <v>402.44999999999993</v>
      </c>
      <c r="K427" s="1278">
        <f t="shared" si="12"/>
        <v>5.2798603848750901E-5</v>
      </c>
      <c r="L427" s="1278">
        <f t="shared" si="13"/>
        <v>0.99462187925269629</v>
      </c>
      <c r="M427" s="1279" t="s">
        <v>2319</v>
      </c>
    </row>
    <row r="428" spans="1:13" ht="28.5">
      <c r="A428" s="1281">
        <v>11829</v>
      </c>
      <c r="B428" s="1299" t="s">
        <v>67</v>
      </c>
      <c r="C428" s="1272" t="s">
        <v>676</v>
      </c>
      <c r="D428" s="1280" t="s">
        <v>677</v>
      </c>
      <c r="E428" s="1281" t="s">
        <v>55</v>
      </c>
      <c r="F428" s="1282">
        <v>2</v>
      </c>
      <c r="G428" s="1283">
        <v>159.59</v>
      </c>
      <c r="H428" s="1277">
        <v>199.48750000000001</v>
      </c>
      <c r="I428" s="1277">
        <v>319.18</v>
      </c>
      <c r="J428" s="1277">
        <v>398.97500000000002</v>
      </c>
      <c r="K428" s="1278">
        <f t="shared" si="12"/>
        <v>5.2342708337819343E-5</v>
      </c>
      <c r="L428" s="1278">
        <f t="shared" si="13"/>
        <v>0.99467422196103417</v>
      </c>
      <c r="M428" s="1279" t="s">
        <v>2319</v>
      </c>
    </row>
    <row r="429" spans="1:13" ht="46.5" customHeight="1">
      <c r="A429" s="1271">
        <v>97599</v>
      </c>
      <c r="B429" s="1272" t="s">
        <v>26</v>
      </c>
      <c r="C429" s="1272" t="s">
        <v>648</v>
      </c>
      <c r="D429" s="1280" t="s">
        <v>649</v>
      </c>
      <c r="E429" s="1281" t="s">
        <v>55</v>
      </c>
      <c r="F429" s="1282">
        <v>12</v>
      </c>
      <c r="G429" s="1283">
        <v>26.46</v>
      </c>
      <c r="H429" s="1277">
        <v>33.075000000000003</v>
      </c>
      <c r="I429" s="1277">
        <v>317.52</v>
      </c>
      <c r="J429" s="1277">
        <v>396.90000000000003</v>
      </c>
      <c r="K429" s="1278">
        <f t="shared" si="12"/>
        <v>5.2070482960788266E-5</v>
      </c>
      <c r="L429" s="1278">
        <f t="shared" si="13"/>
        <v>0.99472629244399491</v>
      </c>
      <c r="M429" s="1279" t="s">
        <v>2319</v>
      </c>
    </row>
    <row r="430" spans="1:13" ht="28.5">
      <c r="A430" s="1271">
        <v>780</v>
      </c>
      <c r="B430" s="1272" t="s">
        <v>26</v>
      </c>
      <c r="C430" s="1271" t="s">
        <v>932</v>
      </c>
      <c r="D430" s="1274" t="s">
        <v>933</v>
      </c>
      <c r="E430" s="1271" t="s">
        <v>55</v>
      </c>
      <c r="F430" s="1293">
        <v>4</v>
      </c>
      <c r="G430" s="1283">
        <v>78.459999999999994</v>
      </c>
      <c r="H430" s="1277">
        <v>98.074999999999989</v>
      </c>
      <c r="I430" s="1277">
        <v>313.83999999999997</v>
      </c>
      <c r="J430" s="1277">
        <v>392.29999999999995</v>
      </c>
      <c r="K430" s="1278">
        <f t="shared" si="12"/>
        <v>5.1466995377972366E-5</v>
      </c>
      <c r="L430" s="1278">
        <f t="shared" si="13"/>
        <v>0.99477775943937286</v>
      </c>
      <c r="M430" s="1279" t="s">
        <v>2319</v>
      </c>
    </row>
    <row r="431" spans="1:13" ht="42.75">
      <c r="A431" s="1271">
        <v>92980</v>
      </c>
      <c r="B431" s="1272" t="s">
        <v>26</v>
      </c>
      <c r="C431" s="1272" t="s">
        <v>920</v>
      </c>
      <c r="D431" s="1274" t="s">
        <v>921</v>
      </c>
      <c r="E431" s="1271" t="s">
        <v>246</v>
      </c>
      <c r="F431" s="1293">
        <v>28.8</v>
      </c>
      <c r="G431" s="1283">
        <v>10.77</v>
      </c>
      <c r="H431" s="1277">
        <v>13.462499999999999</v>
      </c>
      <c r="I431" s="1277">
        <v>310.17599999999999</v>
      </c>
      <c r="J431" s="1277">
        <v>387.71999999999997</v>
      </c>
      <c r="K431" s="1278">
        <f t="shared" si="12"/>
        <v>5.0866131654212201E-5</v>
      </c>
      <c r="L431" s="1278">
        <f t="shared" si="13"/>
        <v>0.99482862557102703</v>
      </c>
      <c r="M431" s="1279" t="s">
        <v>2319</v>
      </c>
    </row>
    <row r="432" spans="1:13" ht="28.5">
      <c r="A432" s="1281">
        <v>743</v>
      </c>
      <c r="B432" s="1299" t="s">
        <v>67</v>
      </c>
      <c r="C432" s="1271" t="s">
        <v>1025</v>
      </c>
      <c r="D432" s="1280" t="s">
        <v>1026</v>
      </c>
      <c r="E432" s="1281" t="s">
        <v>55</v>
      </c>
      <c r="F432" s="1282">
        <v>20</v>
      </c>
      <c r="G432" s="1289">
        <v>15.39</v>
      </c>
      <c r="H432" s="1290">
        <v>19.237500000000001</v>
      </c>
      <c r="I432" s="1290">
        <v>307.8</v>
      </c>
      <c r="J432" s="1290">
        <v>384.75</v>
      </c>
      <c r="K432" s="1278">
        <f t="shared" si="12"/>
        <v>5.04764885844376E-5</v>
      </c>
      <c r="L432" s="1278">
        <f t="shared" si="13"/>
        <v>0.9948791020596115</v>
      </c>
      <c r="M432" s="1279" t="s">
        <v>2319</v>
      </c>
    </row>
    <row r="433" spans="1:13" ht="28.5">
      <c r="A433" s="1271">
        <v>743</v>
      </c>
      <c r="B433" s="1272" t="s">
        <v>67</v>
      </c>
      <c r="C433" s="1271" t="s">
        <v>1033</v>
      </c>
      <c r="D433" s="1274" t="s">
        <v>1026</v>
      </c>
      <c r="E433" s="1271" t="s">
        <v>55</v>
      </c>
      <c r="F433" s="1293">
        <v>20</v>
      </c>
      <c r="G433" s="1283">
        <v>15.39</v>
      </c>
      <c r="H433" s="1277">
        <v>19.237500000000001</v>
      </c>
      <c r="I433" s="1277">
        <v>307.8</v>
      </c>
      <c r="J433" s="1277">
        <v>384.75</v>
      </c>
      <c r="K433" s="1278">
        <f t="shared" si="12"/>
        <v>5.04764885844376E-5</v>
      </c>
      <c r="L433" s="1278">
        <f t="shared" si="13"/>
        <v>0.99492957854819597</v>
      </c>
      <c r="M433" s="1279" t="s">
        <v>2319</v>
      </c>
    </row>
    <row r="434" spans="1:13" ht="28.5">
      <c r="A434" s="1271">
        <v>97667</v>
      </c>
      <c r="B434" s="1272" t="s">
        <v>26</v>
      </c>
      <c r="C434" s="1272" t="s">
        <v>1196</v>
      </c>
      <c r="D434" s="1274" t="s">
        <v>1197</v>
      </c>
      <c r="E434" s="1271" t="s">
        <v>246</v>
      </c>
      <c r="F434" s="1293">
        <v>36</v>
      </c>
      <c r="G434" s="1283">
        <v>8.3699999999999992</v>
      </c>
      <c r="H434" s="1277">
        <v>10.462499999999999</v>
      </c>
      <c r="I434" s="1277">
        <v>301.32</v>
      </c>
      <c r="J434" s="1277">
        <v>376.65</v>
      </c>
      <c r="K434" s="1278">
        <f t="shared" si="12"/>
        <v>4.9413825666870489E-5</v>
      </c>
      <c r="L434" s="1278">
        <f t="shared" si="13"/>
        <v>0.99497899237386289</v>
      </c>
      <c r="M434" s="1279" t="s">
        <v>2319</v>
      </c>
    </row>
    <row r="435" spans="1:13">
      <c r="A435" s="1285">
        <v>1212</v>
      </c>
      <c r="B435" s="1286" t="s">
        <v>67</v>
      </c>
      <c r="C435" s="1272" t="s">
        <v>601</v>
      </c>
      <c r="D435" s="1294" t="s">
        <v>602</v>
      </c>
      <c r="E435" s="1271" t="s">
        <v>96</v>
      </c>
      <c r="F435" s="1275">
        <v>51</v>
      </c>
      <c r="G435" s="1283">
        <v>5.68</v>
      </c>
      <c r="H435" s="1277">
        <v>7.1</v>
      </c>
      <c r="I435" s="1277">
        <v>289.68</v>
      </c>
      <c r="J435" s="1277">
        <v>362.09999999999997</v>
      </c>
      <c r="K435" s="1278">
        <f t="shared" si="12"/>
        <v>4.7504968203833281E-5</v>
      </c>
      <c r="L435" s="1278">
        <f t="shared" si="13"/>
        <v>0.99502649734206672</v>
      </c>
      <c r="M435" s="1279" t="s">
        <v>2319</v>
      </c>
    </row>
    <row r="436" spans="1:13" ht="28.5">
      <c r="A436" s="1271">
        <v>9379</v>
      </c>
      <c r="B436" s="1272" t="s">
        <v>67</v>
      </c>
      <c r="C436" s="1272" t="s">
        <v>720</v>
      </c>
      <c r="D436" s="1274" t="s">
        <v>721</v>
      </c>
      <c r="E436" s="1271" t="s">
        <v>55</v>
      </c>
      <c r="F436" s="1293">
        <v>7</v>
      </c>
      <c r="G436" s="1283">
        <v>41.08</v>
      </c>
      <c r="H436" s="1277">
        <v>51.349999999999994</v>
      </c>
      <c r="I436" s="1277">
        <v>287.56</v>
      </c>
      <c r="J436" s="1277">
        <v>359.44999999999993</v>
      </c>
      <c r="K436" s="1278">
        <f t="shared" si="12"/>
        <v>4.7157306878950205E-5</v>
      </c>
      <c r="L436" s="1278">
        <f t="shared" si="13"/>
        <v>0.9950736546489457</v>
      </c>
      <c r="M436" s="1279" t="s">
        <v>2319</v>
      </c>
    </row>
    <row r="437" spans="1:13" ht="58.5">
      <c r="A437" s="1271">
        <v>92023</v>
      </c>
      <c r="B437" s="1272" t="s">
        <v>26</v>
      </c>
      <c r="C437" s="1271" t="s">
        <v>1020</v>
      </c>
      <c r="D437" s="1301" t="s">
        <v>1021</v>
      </c>
      <c r="E437" s="1271" t="s">
        <v>55</v>
      </c>
      <c r="F437" s="1293">
        <v>6</v>
      </c>
      <c r="G437" s="1283">
        <v>47.81</v>
      </c>
      <c r="H437" s="1277">
        <v>59.762500000000003</v>
      </c>
      <c r="I437" s="1277">
        <v>286.86</v>
      </c>
      <c r="J437" s="1277">
        <v>358.57500000000005</v>
      </c>
      <c r="K437" s="1278">
        <f t="shared" si="12"/>
        <v>4.7042513045262416E-5</v>
      </c>
      <c r="L437" s="1278">
        <f t="shared" si="13"/>
        <v>0.99512069716199092</v>
      </c>
      <c r="M437" s="1279" t="s">
        <v>2319</v>
      </c>
    </row>
    <row r="438" spans="1:13" ht="36.75" customHeight="1">
      <c r="A438" s="1271">
        <v>10091</v>
      </c>
      <c r="B438" s="1272" t="s">
        <v>67</v>
      </c>
      <c r="C438" s="1272" t="s">
        <v>959</v>
      </c>
      <c r="D438" s="1274" t="s">
        <v>960</v>
      </c>
      <c r="E438" s="1271" t="s">
        <v>55</v>
      </c>
      <c r="F438" s="1293">
        <v>180</v>
      </c>
      <c r="G438" s="1283">
        <v>1.58</v>
      </c>
      <c r="H438" s="1277">
        <v>1.9750000000000001</v>
      </c>
      <c r="I438" s="1277">
        <v>284.40000000000003</v>
      </c>
      <c r="J438" s="1277">
        <v>355.5</v>
      </c>
      <c r="K438" s="1278">
        <f t="shared" si="12"/>
        <v>4.663909471544527E-5</v>
      </c>
      <c r="L438" s="1278">
        <f t="shared" si="13"/>
        <v>0.99516733625670639</v>
      </c>
      <c r="M438" s="1279" t="s">
        <v>2319</v>
      </c>
    </row>
    <row r="439" spans="1:13" ht="27.75" customHeight="1">
      <c r="A439" s="1271" t="s">
        <v>768</v>
      </c>
      <c r="B439" s="1272" t="s">
        <v>67</v>
      </c>
      <c r="C439" s="1272" t="s">
        <v>769</v>
      </c>
      <c r="D439" s="1274" t="s">
        <v>770</v>
      </c>
      <c r="E439" s="1271" t="s">
        <v>55</v>
      </c>
      <c r="F439" s="1293">
        <v>9</v>
      </c>
      <c r="G439" s="1283">
        <v>31</v>
      </c>
      <c r="H439" s="1277">
        <v>38.75</v>
      </c>
      <c r="I439" s="1277">
        <v>279</v>
      </c>
      <c r="J439" s="1277">
        <v>348.75</v>
      </c>
      <c r="K439" s="1278">
        <f t="shared" si="12"/>
        <v>4.5753542284139347E-5</v>
      </c>
      <c r="L439" s="1278">
        <f t="shared" si="13"/>
        <v>0.99521308979899048</v>
      </c>
      <c r="M439" s="1279" t="s">
        <v>2319</v>
      </c>
    </row>
    <row r="440" spans="1:13">
      <c r="A440" s="1271">
        <v>4135</v>
      </c>
      <c r="B440" s="1272" t="s">
        <v>67</v>
      </c>
      <c r="C440" s="1272" t="s">
        <v>760</v>
      </c>
      <c r="D440" s="1274" t="s">
        <v>761</v>
      </c>
      <c r="E440" s="1271" t="s">
        <v>55</v>
      </c>
      <c r="F440" s="1293">
        <v>18</v>
      </c>
      <c r="G440" s="1283">
        <v>15.44</v>
      </c>
      <c r="H440" s="1277">
        <v>19.3</v>
      </c>
      <c r="I440" s="1277">
        <v>277.92</v>
      </c>
      <c r="J440" s="1277">
        <v>347.40000000000003</v>
      </c>
      <c r="K440" s="1278">
        <f t="shared" si="12"/>
        <v>4.5576431797878166E-5</v>
      </c>
      <c r="L440" s="1278">
        <f t="shared" si="13"/>
        <v>0.9952586662307884</v>
      </c>
      <c r="M440" s="1279" t="s">
        <v>2319</v>
      </c>
    </row>
    <row r="441" spans="1:13" ht="47.25" customHeight="1">
      <c r="A441" s="1285">
        <v>1585</v>
      </c>
      <c r="B441" s="1286" t="s">
        <v>67</v>
      </c>
      <c r="C441" s="1272" t="s">
        <v>579</v>
      </c>
      <c r="D441" s="1294" t="s">
        <v>580</v>
      </c>
      <c r="E441" s="1271" t="s">
        <v>96</v>
      </c>
      <c r="F441" s="1275">
        <v>12</v>
      </c>
      <c r="G441" s="1283">
        <v>23.02</v>
      </c>
      <c r="H441" s="1277">
        <v>28.774999999999999</v>
      </c>
      <c r="I441" s="1277">
        <v>276.24</v>
      </c>
      <c r="J441" s="1277">
        <v>345.29999999999995</v>
      </c>
      <c r="K441" s="1278">
        <f t="shared" si="12"/>
        <v>4.5300926597027422E-5</v>
      </c>
      <c r="L441" s="1278">
        <f t="shared" si="13"/>
        <v>0.99530396715738545</v>
      </c>
      <c r="M441" s="1279" t="s">
        <v>2319</v>
      </c>
    </row>
    <row r="442" spans="1:13" ht="42.75">
      <c r="A442" s="1271" t="s">
        <v>748</v>
      </c>
      <c r="B442" s="1272" t="s">
        <v>67</v>
      </c>
      <c r="C442" s="1272" t="s">
        <v>749</v>
      </c>
      <c r="D442" s="1274" t="s">
        <v>750</v>
      </c>
      <c r="E442" s="1271" t="s">
        <v>55</v>
      </c>
      <c r="F442" s="1293">
        <v>9</v>
      </c>
      <c r="G442" s="1283">
        <v>29.34</v>
      </c>
      <c r="H442" s="1277">
        <v>36.674999999999997</v>
      </c>
      <c r="I442" s="1277">
        <v>264.06</v>
      </c>
      <c r="J442" s="1277">
        <v>330.07499999999999</v>
      </c>
      <c r="K442" s="1278">
        <f t="shared" si="12"/>
        <v>4.3303513890859623E-5</v>
      </c>
      <c r="L442" s="1278">
        <f t="shared" si="13"/>
        <v>0.99534727067127626</v>
      </c>
      <c r="M442" s="1279" t="s">
        <v>2319</v>
      </c>
    </row>
    <row r="443" spans="1:13" ht="28.5">
      <c r="A443" s="1271">
        <v>1670</v>
      </c>
      <c r="B443" s="1272" t="s">
        <v>67</v>
      </c>
      <c r="C443" s="1272" t="s">
        <v>1231</v>
      </c>
      <c r="D443" s="1274" t="s">
        <v>1232</v>
      </c>
      <c r="E443" s="1271" t="s">
        <v>55</v>
      </c>
      <c r="F443" s="1293">
        <v>17</v>
      </c>
      <c r="G443" s="1283">
        <v>15.44</v>
      </c>
      <c r="H443" s="1277">
        <v>19.3</v>
      </c>
      <c r="I443" s="1277">
        <v>262.48</v>
      </c>
      <c r="J443" s="1277">
        <v>328.1</v>
      </c>
      <c r="K443" s="1278">
        <f t="shared" si="12"/>
        <v>4.3044407809107159E-5</v>
      </c>
      <c r="L443" s="1278">
        <f t="shared" si="13"/>
        <v>0.99539031507908537</v>
      </c>
      <c r="M443" s="1279" t="s">
        <v>2319</v>
      </c>
    </row>
    <row r="444" spans="1:13" ht="28.5">
      <c r="A444" s="1271">
        <v>743</v>
      </c>
      <c r="B444" s="1272" t="s">
        <v>67</v>
      </c>
      <c r="C444" s="1272" t="s">
        <v>1105</v>
      </c>
      <c r="D444" s="1274" t="s">
        <v>1026</v>
      </c>
      <c r="E444" s="1271" t="s">
        <v>55</v>
      </c>
      <c r="F444" s="1293">
        <v>17</v>
      </c>
      <c r="G444" s="1283">
        <v>15.39</v>
      </c>
      <c r="H444" s="1277">
        <v>19.237500000000001</v>
      </c>
      <c r="I444" s="1277">
        <v>261.63</v>
      </c>
      <c r="J444" s="1277">
        <v>327.03750000000002</v>
      </c>
      <c r="K444" s="1278">
        <f t="shared" si="12"/>
        <v>4.2905015296771963E-5</v>
      </c>
      <c r="L444" s="1278">
        <f t="shared" si="13"/>
        <v>0.99543322009438218</v>
      </c>
      <c r="M444" s="1279" t="s">
        <v>2319</v>
      </c>
    </row>
    <row r="445" spans="1:13" ht="42.75">
      <c r="A445" s="1271">
        <v>92766</v>
      </c>
      <c r="B445" s="1272" t="s">
        <v>26</v>
      </c>
      <c r="C445" s="1272" t="s">
        <v>208</v>
      </c>
      <c r="D445" s="1274" t="s">
        <v>209</v>
      </c>
      <c r="E445" s="1271" t="s">
        <v>170</v>
      </c>
      <c r="F445" s="1293">
        <v>35</v>
      </c>
      <c r="G445" s="1283">
        <v>12.37</v>
      </c>
      <c r="H445" s="1277">
        <v>9.25</v>
      </c>
      <c r="I445" s="1277">
        <v>432.95</v>
      </c>
      <c r="J445" s="1277">
        <v>323.75</v>
      </c>
      <c r="K445" s="1278">
        <f t="shared" si="12"/>
        <v>4.2473718464487778E-5</v>
      </c>
      <c r="L445" s="1278">
        <f t="shared" si="13"/>
        <v>0.99547569381284662</v>
      </c>
      <c r="M445" s="1279" t="s">
        <v>2319</v>
      </c>
    </row>
    <row r="446" spans="1:13" ht="28.5">
      <c r="A446" s="1271">
        <v>9525</v>
      </c>
      <c r="B446" s="1271" t="s">
        <v>67</v>
      </c>
      <c r="C446" s="1272" t="s">
        <v>1153</v>
      </c>
      <c r="D446" s="1274" t="s">
        <v>1152</v>
      </c>
      <c r="E446" s="1271" t="s">
        <v>55</v>
      </c>
      <c r="F446" s="1293">
        <v>18</v>
      </c>
      <c r="G446" s="1283">
        <v>14.28</v>
      </c>
      <c r="H446" s="1283">
        <v>17.849999999999998</v>
      </c>
      <c r="I446" s="1283">
        <v>257.03999999999996</v>
      </c>
      <c r="J446" s="1283">
        <v>321.29999999999995</v>
      </c>
      <c r="K446" s="1278">
        <f t="shared" si="12"/>
        <v>4.2152295730161922E-5</v>
      </c>
      <c r="L446" s="1278">
        <f t="shared" si="13"/>
        <v>0.99551784610857674</v>
      </c>
      <c r="M446" s="1279" t="s">
        <v>2319</v>
      </c>
    </row>
    <row r="447" spans="1:13" ht="28.5">
      <c r="A447" s="1271">
        <v>11730</v>
      </c>
      <c r="B447" s="1272" t="s">
        <v>67</v>
      </c>
      <c r="C447" s="1272" t="s">
        <v>728</v>
      </c>
      <c r="D447" s="1274" t="s">
        <v>729</v>
      </c>
      <c r="E447" s="1271" t="s">
        <v>55</v>
      </c>
      <c r="F447" s="1293">
        <v>7</v>
      </c>
      <c r="G447" s="1283">
        <v>36.47</v>
      </c>
      <c r="H447" s="1277">
        <v>45.587499999999999</v>
      </c>
      <c r="I447" s="1277">
        <v>255.29</v>
      </c>
      <c r="J447" s="1277">
        <v>319.11250000000001</v>
      </c>
      <c r="K447" s="1278">
        <f t="shared" si="12"/>
        <v>4.1865311145942419E-5</v>
      </c>
      <c r="L447" s="1278">
        <f t="shared" si="13"/>
        <v>0.99555971141972266</v>
      </c>
      <c r="M447" s="1279" t="s">
        <v>2319</v>
      </c>
    </row>
    <row r="448" spans="1:13">
      <c r="A448" s="1271"/>
      <c r="B448" s="1272" t="s">
        <v>52</v>
      </c>
      <c r="C448" s="1272" t="s">
        <v>53</v>
      </c>
      <c r="D448" s="1314" t="s">
        <v>54</v>
      </c>
      <c r="E448" s="1271" t="s">
        <v>55</v>
      </c>
      <c r="F448" s="1275">
        <v>1</v>
      </c>
      <c r="G448" s="1283">
        <v>254.59</v>
      </c>
      <c r="H448" s="1277">
        <v>318.23750000000001</v>
      </c>
      <c r="I448" s="1277">
        <v>254.59</v>
      </c>
      <c r="J448" s="1277">
        <v>318.23750000000001</v>
      </c>
      <c r="K448" s="1278">
        <f t="shared" si="12"/>
        <v>4.1750517312254609E-5</v>
      </c>
      <c r="L448" s="1278">
        <f t="shared" si="13"/>
        <v>0.99560146193703492</v>
      </c>
      <c r="M448" s="1279" t="s">
        <v>2319</v>
      </c>
    </row>
    <row r="449" spans="1:13">
      <c r="A449" s="1271"/>
      <c r="B449" s="1272" t="s">
        <v>52</v>
      </c>
      <c r="C449" s="1272" t="s">
        <v>56</v>
      </c>
      <c r="D449" s="1314" t="s">
        <v>57</v>
      </c>
      <c r="E449" s="1271" t="s">
        <v>55</v>
      </c>
      <c r="F449" s="1275">
        <v>1</v>
      </c>
      <c r="G449" s="1283">
        <v>254.59</v>
      </c>
      <c r="H449" s="1277">
        <v>318.23750000000001</v>
      </c>
      <c r="I449" s="1277">
        <v>254.59</v>
      </c>
      <c r="J449" s="1277">
        <v>318.23750000000001</v>
      </c>
      <c r="K449" s="1278">
        <f t="shared" si="12"/>
        <v>4.1750517312254609E-5</v>
      </c>
      <c r="L449" s="1278">
        <f t="shared" si="13"/>
        <v>0.99564321245434717</v>
      </c>
      <c r="M449" s="1279" t="s">
        <v>2319</v>
      </c>
    </row>
    <row r="450" spans="1:13" ht="28.5">
      <c r="A450" s="1271">
        <v>11039</v>
      </c>
      <c r="B450" s="1272" t="s">
        <v>67</v>
      </c>
      <c r="C450" s="1272" t="s">
        <v>963</v>
      </c>
      <c r="D450" s="1274" t="s">
        <v>964</v>
      </c>
      <c r="E450" s="1271" t="s">
        <v>55</v>
      </c>
      <c r="F450" s="1293">
        <v>308</v>
      </c>
      <c r="G450" s="1283">
        <v>0.82</v>
      </c>
      <c r="H450" s="1277">
        <v>1.0249999999999999</v>
      </c>
      <c r="I450" s="1277">
        <v>252.55999999999997</v>
      </c>
      <c r="J450" s="1277">
        <v>315.7</v>
      </c>
      <c r="K450" s="1278">
        <f t="shared" ref="K450:K513" si="14">J450/$N$1</f>
        <v>4.1417615194559974E-5</v>
      </c>
      <c r="L450" s="1278">
        <f t="shared" si="13"/>
        <v>0.99568463006954178</v>
      </c>
      <c r="M450" s="1279" t="s">
        <v>2319</v>
      </c>
    </row>
    <row r="451" spans="1:13" ht="28.5">
      <c r="A451" s="1271">
        <v>89501</v>
      </c>
      <c r="B451" s="1272" t="s">
        <v>26</v>
      </c>
      <c r="C451" s="1272" t="s">
        <v>471</v>
      </c>
      <c r="D451" s="1294" t="s">
        <v>472</v>
      </c>
      <c r="E451" s="1271" t="s">
        <v>55</v>
      </c>
      <c r="F451" s="1275">
        <v>18</v>
      </c>
      <c r="G451" s="1283">
        <v>13.77</v>
      </c>
      <c r="H451" s="1277">
        <v>17.212499999999999</v>
      </c>
      <c r="I451" s="1277">
        <v>247.85999999999999</v>
      </c>
      <c r="J451" s="1277">
        <v>309.82499999999999</v>
      </c>
      <c r="K451" s="1278">
        <f t="shared" si="14"/>
        <v>4.0646856596941853E-5</v>
      </c>
      <c r="L451" s="1278">
        <f t="shared" si="13"/>
        <v>0.99572527692613877</v>
      </c>
      <c r="M451" s="1279" t="s">
        <v>2319</v>
      </c>
    </row>
    <row r="452" spans="1:13">
      <c r="A452" s="1285">
        <v>10317</v>
      </c>
      <c r="B452" s="1286" t="s">
        <v>67</v>
      </c>
      <c r="C452" s="1272" t="s">
        <v>558</v>
      </c>
      <c r="D452" s="1294" t="s">
        <v>559</v>
      </c>
      <c r="E452" s="1271" t="s">
        <v>96</v>
      </c>
      <c r="F452" s="1275">
        <v>36</v>
      </c>
      <c r="G452" s="1283">
        <v>6.88</v>
      </c>
      <c r="H452" s="1277">
        <v>8.6</v>
      </c>
      <c r="I452" s="1277">
        <v>247.68</v>
      </c>
      <c r="J452" s="1277">
        <v>309.59999999999997</v>
      </c>
      <c r="K452" s="1278">
        <f t="shared" si="14"/>
        <v>4.0617338182564988E-5</v>
      </c>
      <c r="L452" s="1278">
        <f t="shared" ref="L452:L515" si="15">K452+L451</f>
        <v>0.99576589426432138</v>
      </c>
      <c r="M452" s="1279" t="s">
        <v>2319</v>
      </c>
    </row>
    <row r="453" spans="1:13">
      <c r="A453" s="1271">
        <v>2933</v>
      </c>
      <c r="B453" s="1272" t="s">
        <v>67</v>
      </c>
      <c r="C453" s="1272" t="s">
        <v>753</v>
      </c>
      <c r="D453" s="1274" t="s">
        <v>754</v>
      </c>
      <c r="E453" s="1271" t="s">
        <v>55</v>
      </c>
      <c r="F453" s="1293">
        <v>8</v>
      </c>
      <c r="G453" s="1283">
        <v>30.58</v>
      </c>
      <c r="H453" s="1277">
        <v>38.224999999999994</v>
      </c>
      <c r="I453" s="1277">
        <v>244.64</v>
      </c>
      <c r="J453" s="1277">
        <v>305.79999999999995</v>
      </c>
      <c r="K453" s="1278">
        <f t="shared" si="14"/>
        <v>4.0118804961977951E-5</v>
      </c>
      <c r="L453" s="1278">
        <f t="shared" si="15"/>
        <v>0.9958060130692834</v>
      </c>
      <c r="M453" s="1279" t="s">
        <v>2319</v>
      </c>
    </row>
    <row r="454" spans="1:13" ht="28.5">
      <c r="A454" s="1271">
        <v>9520</v>
      </c>
      <c r="B454" s="1272" t="s">
        <v>67</v>
      </c>
      <c r="C454" s="1272" t="s">
        <v>1142</v>
      </c>
      <c r="D454" s="1274" t="s">
        <v>1141</v>
      </c>
      <c r="E454" s="1271" t="s">
        <v>55</v>
      </c>
      <c r="F454" s="1293">
        <v>2</v>
      </c>
      <c r="G454" s="1283">
        <v>121.55</v>
      </c>
      <c r="H454" s="1277">
        <v>151.9375</v>
      </c>
      <c r="I454" s="1277">
        <v>243.1</v>
      </c>
      <c r="J454" s="1277">
        <v>303.875</v>
      </c>
      <c r="K454" s="1278">
        <f t="shared" si="14"/>
        <v>3.9866258527864787E-5</v>
      </c>
      <c r="L454" s="1278">
        <f t="shared" si="15"/>
        <v>0.99584587932781121</v>
      </c>
      <c r="M454" s="1279" t="s">
        <v>2319</v>
      </c>
    </row>
    <row r="455" spans="1:13">
      <c r="A455" s="1271">
        <v>2845</v>
      </c>
      <c r="B455" s="1272" t="s">
        <v>67</v>
      </c>
      <c r="C455" s="1272" t="s">
        <v>789</v>
      </c>
      <c r="D455" s="1274" t="s">
        <v>790</v>
      </c>
      <c r="E455" s="1271" t="s">
        <v>55</v>
      </c>
      <c r="F455" s="1293">
        <v>60</v>
      </c>
      <c r="G455" s="1283">
        <v>4</v>
      </c>
      <c r="H455" s="1277">
        <v>5</v>
      </c>
      <c r="I455" s="1277">
        <v>240</v>
      </c>
      <c r="J455" s="1277">
        <v>300</v>
      </c>
      <c r="K455" s="1278">
        <f t="shared" si="14"/>
        <v>3.935788583581879E-5</v>
      </c>
      <c r="L455" s="1278">
        <f t="shared" si="15"/>
        <v>0.99588523721364708</v>
      </c>
      <c r="M455" s="1279" t="s">
        <v>2319</v>
      </c>
    </row>
    <row r="456" spans="1:13" ht="28.5">
      <c r="A456" s="1271">
        <v>8007</v>
      </c>
      <c r="B456" s="1272" t="s">
        <v>67</v>
      </c>
      <c r="C456" s="1272" t="s">
        <v>864</v>
      </c>
      <c r="D456" s="1274" t="s">
        <v>865</v>
      </c>
      <c r="E456" s="1271" t="s">
        <v>55</v>
      </c>
      <c r="F456" s="1293">
        <v>108</v>
      </c>
      <c r="G456" s="1283">
        <v>2.2000000000000002</v>
      </c>
      <c r="H456" s="1277">
        <v>2.75</v>
      </c>
      <c r="I456" s="1277">
        <v>237.60000000000002</v>
      </c>
      <c r="J456" s="1277">
        <v>297</v>
      </c>
      <c r="K456" s="1278">
        <f t="shared" si="14"/>
        <v>3.8964306977460604E-5</v>
      </c>
      <c r="L456" s="1278">
        <f t="shared" si="15"/>
        <v>0.99592420152062455</v>
      </c>
      <c r="M456" s="1279" t="s">
        <v>2319</v>
      </c>
    </row>
    <row r="457" spans="1:13" ht="42.75">
      <c r="A457" s="1271">
        <v>91885</v>
      </c>
      <c r="B457" s="1272" t="s">
        <v>26</v>
      </c>
      <c r="C457" s="1272" t="s">
        <v>1121</v>
      </c>
      <c r="D457" s="1274" t="s">
        <v>1040</v>
      </c>
      <c r="E457" s="1271" t="s">
        <v>55</v>
      </c>
      <c r="F457" s="1293">
        <v>20</v>
      </c>
      <c r="G457" s="1283">
        <v>11.59</v>
      </c>
      <c r="H457" s="1277">
        <v>14.487500000000001</v>
      </c>
      <c r="I457" s="1277">
        <v>231.8</v>
      </c>
      <c r="J457" s="1277">
        <v>289.75</v>
      </c>
      <c r="K457" s="1278">
        <f t="shared" si="14"/>
        <v>3.8013158069761649E-5</v>
      </c>
      <c r="L457" s="1278">
        <f t="shared" si="15"/>
        <v>0.99596221467869428</v>
      </c>
      <c r="M457" s="1279" t="s">
        <v>2319</v>
      </c>
    </row>
    <row r="458" spans="1:13" ht="28.5">
      <c r="A458" s="1271">
        <v>743</v>
      </c>
      <c r="B458" s="1272" t="s">
        <v>67</v>
      </c>
      <c r="C458" s="1273" t="s">
        <v>1269</v>
      </c>
      <c r="D458" s="1274" t="s">
        <v>1026</v>
      </c>
      <c r="E458" s="1271" t="s">
        <v>55</v>
      </c>
      <c r="F458" s="1293">
        <v>15</v>
      </c>
      <c r="G458" s="1283">
        <v>15.39</v>
      </c>
      <c r="H458" s="1277">
        <v>19.237500000000001</v>
      </c>
      <c r="I458" s="1277">
        <v>230.85000000000002</v>
      </c>
      <c r="J458" s="1277">
        <v>288.5625</v>
      </c>
      <c r="K458" s="1278">
        <f t="shared" si="14"/>
        <v>3.7857366438328201E-5</v>
      </c>
      <c r="L458" s="1278">
        <f t="shared" si="15"/>
        <v>0.99600007204513263</v>
      </c>
      <c r="M458" s="1279" t="s">
        <v>2319</v>
      </c>
    </row>
    <row r="459" spans="1:13" ht="22.9" customHeight="1">
      <c r="A459" s="1271">
        <v>91917</v>
      </c>
      <c r="B459" s="1272" t="s">
        <v>26</v>
      </c>
      <c r="C459" s="1271" t="s">
        <v>1041</v>
      </c>
      <c r="D459" s="1274" t="s">
        <v>1042</v>
      </c>
      <c r="E459" s="1271" t="s">
        <v>55</v>
      </c>
      <c r="F459" s="1293">
        <v>12</v>
      </c>
      <c r="G459" s="1283">
        <v>18.61</v>
      </c>
      <c r="H459" s="1277">
        <v>23.262499999999999</v>
      </c>
      <c r="I459" s="1277">
        <v>223.32</v>
      </c>
      <c r="J459" s="1277">
        <v>279.14999999999998</v>
      </c>
      <c r="K459" s="1278">
        <f t="shared" si="14"/>
        <v>3.6622512770229383E-5</v>
      </c>
      <c r="L459" s="1278">
        <f t="shared" si="15"/>
        <v>0.99603669455790289</v>
      </c>
      <c r="M459" s="1279" t="s">
        <v>2319</v>
      </c>
    </row>
    <row r="460" spans="1:13" ht="42.75">
      <c r="A460" s="1271" t="s">
        <v>717</v>
      </c>
      <c r="B460" s="1272" t="s">
        <v>26</v>
      </c>
      <c r="C460" s="1272" t="s">
        <v>718</v>
      </c>
      <c r="D460" s="1274" t="s">
        <v>719</v>
      </c>
      <c r="E460" s="1271" t="s">
        <v>55</v>
      </c>
      <c r="F460" s="1293">
        <v>20</v>
      </c>
      <c r="G460" s="1283">
        <v>11.03</v>
      </c>
      <c r="H460" s="1277">
        <v>13.7875</v>
      </c>
      <c r="I460" s="1277">
        <v>220.6</v>
      </c>
      <c r="J460" s="1277">
        <v>275.75</v>
      </c>
      <c r="K460" s="1278">
        <f t="shared" si="14"/>
        <v>3.6176456730756772E-5</v>
      </c>
      <c r="L460" s="1278">
        <f t="shared" si="15"/>
        <v>0.9960728710146336</v>
      </c>
      <c r="M460" s="1279" t="s">
        <v>2319</v>
      </c>
    </row>
    <row r="461" spans="1:13" ht="53.25" customHeight="1">
      <c r="A461" s="1271">
        <v>12016</v>
      </c>
      <c r="B461" s="1272" t="s">
        <v>67</v>
      </c>
      <c r="C461" s="1272" t="s">
        <v>682</v>
      </c>
      <c r="D461" s="1280" t="s">
        <v>683</v>
      </c>
      <c r="E461" s="1281" t="s">
        <v>55</v>
      </c>
      <c r="F461" s="1282">
        <v>1</v>
      </c>
      <c r="G461" s="1283">
        <v>218.99</v>
      </c>
      <c r="H461" s="1277">
        <v>273.73750000000001</v>
      </c>
      <c r="I461" s="1277">
        <v>218.99</v>
      </c>
      <c r="J461" s="1277">
        <v>273.73750000000001</v>
      </c>
      <c r="K461" s="1278">
        <f t="shared" si="14"/>
        <v>3.5912430913274821E-5</v>
      </c>
      <c r="L461" s="1278">
        <f t="shared" si="15"/>
        <v>0.99610878344554687</v>
      </c>
      <c r="M461" s="1279" t="s">
        <v>2319</v>
      </c>
    </row>
    <row r="462" spans="1:13" ht="31.5" customHeight="1">
      <c r="A462" s="1271">
        <v>90371</v>
      </c>
      <c r="B462" s="1272" t="s">
        <v>26</v>
      </c>
      <c r="C462" s="1272" t="s">
        <v>497</v>
      </c>
      <c r="D462" s="1294" t="s">
        <v>498</v>
      </c>
      <c r="E462" s="1271" t="s">
        <v>55</v>
      </c>
      <c r="F462" s="1275">
        <v>10</v>
      </c>
      <c r="G462" s="1283">
        <v>21.88</v>
      </c>
      <c r="H462" s="1277">
        <v>27.349999999999998</v>
      </c>
      <c r="I462" s="1277">
        <v>218.79999999999998</v>
      </c>
      <c r="J462" s="1277">
        <v>273.5</v>
      </c>
      <c r="K462" s="1278">
        <f t="shared" si="14"/>
        <v>3.5881272586988135E-5</v>
      </c>
      <c r="L462" s="1278">
        <f t="shared" si="15"/>
        <v>0.9961446647181339</v>
      </c>
      <c r="M462" s="1279" t="s">
        <v>2319</v>
      </c>
    </row>
    <row r="463" spans="1:13" ht="28.5">
      <c r="A463" s="1271">
        <v>654</v>
      </c>
      <c r="B463" s="1272" t="s">
        <v>67</v>
      </c>
      <c r="C463" s="1272" t="s">
        <v>1190</v>
      </c>
      <c r="D463" s="1274" t="s">
        <v>1191</v>
      </c>
      <c r="E463" s="1271" t="s">
        <v>55</v>
      </c>
      <c r="F463" s="1293">
        <v>18</v>
      </c>
      <c r="G463" s="1283">
        <v>12.14</v>
      </c>
      <c r="H463" s="1277">
        <v>15.175000000000001</v>
      </c>
      <c r="I463" s="1277">
        <v>218.52</v>
      </c>
      <c r="J463" s="1277">
        <v>273.15000000000003</v>
      </c>
      <c r="K463" s="1278">
        <f t="shared" si="14"/>
        <v>3.5835355053513017E-5</v>
      </c>
      <c r="L463" s="1278">
        <f t="shared" si="15"/>
        <v>0.99618050007318737</v>
      </c>
      <c r="M463" s="1279" t="s">
        <v>2319</v>
      </c>
    </row>
    <row r="464" spans="1:13" ht="28.5">
      <c r="A464" s="1271">
        <v>8795</v>
      </c>
      <c r="B464" s="1272" t="s">
        <v>67</v>
      </c>
      <c r="C464" s="1272" t="s">
        <v>951</v>
      </c>
      <c r="D464" s="1274" t="s">
        <v>952</v>
      </c>
      <c r="E464" s="1271" t="s">
        <v>55</v>
      </c>
      <c r="F464" s="1293">
        <v>8</v>
      </c>
      <c r="G464" s="1283">
        <v>27.16</v>
      </c>
      <c r="H464" s="1277">
        <v>33.950000000000003</v>
      </c>
      <c r="I464" s="1277">
        <v>217.28</v>
      </c>
      <c r="J464" s="1277">
        <v>271.60000000000002</v>
      </c>
      <c r="K464" s="1278">
        <f t="shared" si="14"/>
        <v>3.5632005976694617E-5</v>
      </c>
      <c r="L464" s="1278">
        <f t="shared" si="15"/>
        <v>0.99621613207916404</v>
      </c>
      <c r="M464" s="1279" t="s">
        <v>2319</v>
      </c>
    </row>
    <row r="465" spans="1:13" ht="43.5" customHeight="1">
      <c r="A465" s="1271" t="s">
        <v>725</v>
      </c>
      <c r="B465" s="1272" t="s">
        <v>67</v>
      </c>
      <c r="C465" s="1272" t="s">
        <v>726</v>
      </c>
      <c r="D465" s="1274" t="s">
        <v>727</v>
      </c>
      <c r="E465" s="1271" t="s">
        <v>55</v>
      </c>
      <c r="F465" s="1293">
        <v>1</v>
      </c>
      <c r="G465" s="1283">
        <v>214.09</v>
      </c>
      <c r="H465" s="1277">
        <v>267.61250000000001</v>
      </c>
      <c r="I465" s="1277">
        <v>214.09</v>
      </c>
      <c r="J465" s="1277">
        <v>267.61250000000001</v>
      </c>
      <c r="K465" s="1278">
        <f t="shared" si="14"/>
        <v>3.5108874077460188E-5</v>
      </c>
      <c r="L465" s="1278">
        <f t="shared" si="15"/>
        <v>0.99625124095324147</v>
      </c>
      <c r="M465" s="1279" t="s">
        <v>2319</v>
      </c>
    </row>
    <row r="466" spans="1:13" ht="28.5">
      <c r="A466" s="1271">
        <v>9900</v>
      </c>
      <c r="B466" s="1272" t="s">
        <v>67</v>
      </c>
      <c r="C466" s="1272" t="s">
        <v>957</v>
      </c>
      <c r="D466" s="1274" t="s">
        <v>958</v>
      </c>
      <c r="E466" s="1271" t="s">
        <v>55</v>
      </c>
      <c r="F466" s="1293">
        <v>16</v>
      </c>
      <c r="G466" s="1283">
        <v>13.22</v>
      </c>
      <c r="H466" s="1277">
        <v>16.525000000000002</v>
      </c>
      <c r="I466" s="1277">
        <v>211.52</v>
      </c>
      <c r="J466" s="1277">
        <v>264.40000000000003</v>
      </c>
      <c r="K466" s="1278">
        <f t="shared" si="14"/>
        <v>3.4687416716634969E-5</v>
      </c>
      <c r="L466" s="1278">
        <f t="shared" si="15"/>
        <v>0.99628592836995811</v>
      </c>
      <c r="M466" s="1279" t="s">
        <v>2319</v>
      </c>
    </row>
    <row r="467" spans="1:13" ht="44.25">
      <c r="A467" s="1271">
        <v>91997</v>
      </c>
      <c r="B467" s="1272" t="s">
        <v>26</v>
      </c>
      <c r="C467" s="1271" t="s">
        <v>1006</v>
      </c>
      <c r="D467" s="1274" t="s">
        <v>1007</v>
      </c>
      <c r="E467" s="1271" t="s">
        <v>55</v>
      </c>
      <c r="F467" s="1293">
        <v>6</v>
      </c>
      <c r="G467" s="1283">
        <v>35.21</v>
      </c>
      <c r="H467" s="1277">
        <v>44.012500000000003</v>
      </c>
      <c r="I467" s="1277">
        <v>211.26</v>
      </c>
      <c r="J467" s="1277">
        <v>264.07500000000005</v>
      </c>
      <c r="K467" s="1278">
        <f t="shared" si="14"/>
        <v>3.4644779006979497E-5</v>
      </c>
      <c r="L467" s="1278">
        <f t="shared" si="15"/>
        <v>0.99632057314896505</v>
      </c>
      <c r="M467" s="1279" t="s">
        <v>2319</v>
      </c>
    </row>
    <row r="468" spans="1:13">
      <c r="A468" s="1271">
        <v>4190</v>
      </c>
      <c r="B468" s="1272" t="s">
        <v>67</v>
      </c>
      <c r="C468" s="1272" t="s">
        <v>1155</v>
      </c>
      <c r="D468" s="1274" t="s">
        <v>691</v>
      </c>
      <c r="E468" s="1271" t="s">
        <v>55</v>
      </c>
      <c r="F468" s="1293">
        <v>60</v>
      </c>
      <c r="G468" s="1283">
        <v>3.5</v>
      </c>
      <c r="H468" s="1277">
        <v>4.375</v>
      </c>
      <c r="I468" s="1277">
        <v>210</v>
      </c>
      <c r="J468" s="1277">
        <v>262.5</v>
      </c>
      <c r="K468" s="1278">
        <f t="shared" si="14"/>
        <v>3.4438150106341444E-5</v>
      </c>
      <c r="L468" s="1278">
        <f t="shared" si="15"/>
        <v>0.99635501129907134</v>
      </c>
      <c r="M468" s="1279" t="s">
        <v>2319</v>
      </c>
    </row>
    <row r="469" spans="1:13" ht="33.75" customHeight="1">
      <c r="A469" s="1271">
        <v>93024</v>
      </c>
      <c r="B469" s="1272" t="s">
        <v>26</v>
      </c>
      <c r="C469" s="1272" t="s">
        <v>802</v>
      </c>
      <c r="D469" s="1274" t="s">
        <v>803</v>
      </c>
      <c r="E469" s="1271" t="s">
        <v>55</v>
      </c>
      <c r="F469" s="1293">
        <v>5</v>
      </c>
      <c r="G469" s="1283">
        <v>41.92</v>
      </c>
      <c r="H469" s="1277">
        <v>52.400000000000006</v>
      </c>
      <c r="I469" s="1277">
        <v>209.60000000000002</v>
      </c>
      <c r="J469" s="1277">
        <v>262</v>
      </c>
      <c r="K469" s="1278">
        <f t="shared" si="14"/>
        <v>3.4372553629948413E-5</v>
      </c>
      <c r="L469" s="1278">
        <f t="shared" si="15"/>
        <v>0.99638938385270126</v>
      </c>
      <c r="M469" s="1279" t="s">
        <v>2319</v>
      </c>
    </row>
    <row r="470" spans="1:13" ht="28.5">
      <c r="A470" s="1271">
        <v>1674</v>
      </c>
      <c r="B470" s="1272" t="s">
        <v>67</v>
      </c>
      <c r="C470" s="1272" t="s">
        <v>1233</v>
      </c>
      <c r="D470" s="1274" t="s">
        <v>1234</v>
      </c>
      <c r="E470" s="1271" t="s">
        <v>55</v>
      </c>
      <c r="F470" s="1293">
        <v>11</v>
      </c>
      <c r="G470" s="1283">
        <v>18.95</v>
      </c>
      <c r="H470" s="1277">
        <v>23.6875</v>
      </c>
      <c r="I470" s="1277">
        <v>208.45</v>
      </c>
      <c r="J470" s="1277">
        <v>260.5625</v>
      </c>
      <c r="K470" s="1278">
        <f t="shared" si="14"/>
        <v>3.4183963760318446E-5</v>
      </c>
      <c r="L470" s="1278">
        <f t="shared" si="15"/>
        <v>0.99642356781646158</v>
      </c>
      <c r="M470" s="1279" t="s">
        <v>2319</v>
      </c>
    </row>
    <row r="471" spans="1:13" ht="28.5">
      <c r="A471" s="1271" t="s">
        <v>971</v>
      </c>
      <c r="B471" s="1272" t="s">
        <v>67</v>
      </c>
      <c r="C471" s="1272" t="s">
        <v>972</v>
      </c>
      <c r="D471" s="1274" t="s">
        <v>973</v>
      </c>
      <c r="E471" s="1271" t="s">
        <v>55</v>
      </c>
      <c r="F471" s="1293">
        <v>2</v>
      </c>
      <c r="G471" s="1283">
        <v>102.99</v>
      </c>
      <c r="H471" s="1277">
        <v>128.73749999999998</v>
      </c>
      <c r="I471" s="1277">
        <v>205.98</v>
      </c>
      <c r="J471" s="1277">
        <v>257.47499999999997</v>
      </c>
      <c r="K471" s="1278">
        <f t="shared" si="14"/>
        <v>3.3778905518591473E-5</v>
      </c>
      <c r="L471" s="1278">
        <f t="shared" si="15"/>
        <v>0.99645734672198016</v>
      </c>
      <c r="M471" s="1279" t="s">
        <v>2319</v>
      </c>
    </row>
    <row r="472" spans="1:13" ht="31.15" customHeight="1">
      <c r="A472" s="1271">
        <v>89398</v>
      </c>
      <c r="B472" s="1272" t="s">
        <v>26</v>
      </c>
      <c r="C472" s="1272" t="s">
        <v>505</v>
      </c>
      <c r="D472" s="1294" t="s">
        <v>506</v>
      </c>
      <c r="E472" s="1271" t="s">
        <v>55</v>
      </c>
      <c r="F472" s="1275">
        <v>12</v>
      </c>
      <c r="G472" s="1283">
        <v>17.14</v>
      </c>
      <c r="H472" s="1277">
        <v>21.425000000000001</v>
      </c>
      <c r="I472" s="1277">
        <v>205.68</v>
      </c>
      <c r="J472" s="1277">
        <v>257.10000000000002</v>
      </c>
      <c r="K472" s="1278">
        <f t="shared" si="14"/>
        <v>3.3729708161296708E-5</v>
      </c>
      <c r="L472" s="1278">
        <f t="shared" si="15"/>
        <v>0.99649107643014145</v>
      </c>
      <c r="M472" s="1279" t="s">
        <v>2319</v>
      </c>
    </row>
    <row r="473" spans="1:13" ht="57">
      <c r="A473" s="1271">
        <v>89726</v>
      </c>
      <c r="B473" s="1272" t="s">
        <v>26</v>
      </c>
      <c r="C473" s="1272" t="s">
        <v>538</v>
      </c>
      <c r="D473" s="1294" t="s">
        <v>539</v>
      </c>
      <c r="E473" s="1271" t="s">
        <v>96</v>
      </c>
      <c r="F473" s="1275">
        <v>21</v>
      </c>
      <c r="G473" s="1283">
        <v>9.64</v>
      </c>
      <c r="H473" s="1277">
        <v>12.05</v>
      </c>
      <c r="I473" s="1277">
        <v>202.44</v>
      </c>
      <c r="J473" s="1277">
        <v>253.05</v>
      </c>
      <c r="K473" s="1278">
        <f t="shared" si="14"/>
        <v>3.3198376702513153E-5</v>
      </c>
      <c r="L473" s="1278">
        <f t="shared" si="15"/>
        <v>0.99652427480684391</v>
      </c>
      <c r="M473" s="1279" t="s">
        <v>2319</v>
      </c>
    </row>
    <row r="474" spans="1:13" ht="38.25" customHeight="1">
      <c r="A474" s="1271">
        <v>9934</v>
      </c>
      <c r="B474" s="1272" t="s">
        <v>67</v>
      </c>
      <c r="C474" s="1272" t="s">
        <v>890</v>
      </c>
      <c r="D474" s="1274" t="s">
        <v>891</v>
      </c>
      <c r="E474" s="1271" t="s">
        <v>55</v>
      </c>
      <c r="F474" s="1293">
        <v>1</v>
      </c>
      <c r="G474" s="1283">
        <v>202.33</v>
      </c>
      <c r="H474" s="1277">
        <v>252.91250000000002</v>
      </c>
      <c r="I474" s="1277">
        <v>202.33</v>
      </c>
      <c r="J474" s="1277">
        <v>252.91250000000002</v>
      </c>
      <c r="K474" s="1278">
        <f t="shared" si="14"/>
        <v>3.3180337671505074E-5</v>
      </c>
      <c r="L474" s="1278">
        <f t="shared" si="15"/>
        <v>0.99655745514451544</v>
      </c>
      <c r="M474" s="1279" t="s">
        <v>2319</v>
      </c>
    </row>
    <row r="475" spans="1:13" ht="28.15" customHeight="1">
      <c r="A475" s="1271">
        <v>94798</v>
      </c>
      <c r="B475" s="1272" t="s">
        <v>26</v>
      </c>
      <c r="C475" s="1272" t="s">
        <v>457</v>
      </c>
      <c r="D475" s="1294" t="s">
        <v>458</v>
      </c>
      <c r="E475" s="1271" t="s">
        <v>55</v>
      </c>
      <c r="F475" s="1275">
        <v>2</v>
      </c>
      <c r="G475" s="1283">
        <v>100.67</v>
      </c>
      <c r="H475" s="1277">
        <v>125.83750000000001</v>
      </c>
      <c r="I475" s="1277">
        <v>201.34</v>
      </c>
      <c r="J475" s="1277">
        <v>251.67500000000001</v>
      </c>
      <c r="K475" s="1278">
        <f t="shared" si="14"/>
        <v>3.3017986392432319E-5</v>
      </c>
      <c r="L475" s="1278">
        <f t="shared" si="15"/>
        <v>0.99659047313090787</v>
      </c>
      <c r="M475" s="1279" t="s">
        <v>2319</v>
      </c>
    </row>
    <row r="476" spans="1:13" ht="33" customHeight="1">
      <c r="A476" s="1271">
        <v>8389</v>
      </c>
      <c r="B476" s="1272" t="s">
        <v>67</v>
      </c>
      <c r="C476" s="1272" t="s">
        <v>953</v>
      </c>
      <c r="D476" s="1274" t="s">
        <v>954</v>
      </c>
      <c r="E476" s="1271" t="s">
        <v>55</v>
      </c>
      <c r="F476" s="1293">
        <v>14</v>
      </c>
      <c r="G476" s="1283">
        <v>14.3</v>
      </c>
      <c r="H476" s="1277">
        <v>17.875</v>
      </c>
      <c r="I476" s="1277">
        <v>200.20000000000002</v>
      </c>
      <c r="J476" s="1277">
        <v>250.25</v>
      </c>
      <c r="K476" s="1278">
        <f t="shared" si="14"/>
        <v>3.2831036434712179E-5</v>
      </c>
      <c r="L476" s="1278">
        <f t="shared" si="15"/>
        <v>0.99662330416734257</v>
      </c>
      <c r="M476" s="1279" t="s">
        <v>2319</v>
      </c>
    </row>
    <row r="477" spans="1:13" ht="19.5" customHeight="1">
      <c r="A477" s="1271">
        <v>10427</v>
      </c>
      <c r="B477" s="1272" t="s">
        <v>67</v>
      </c>
      <c r="C477" s="1272" t="s">
        <v>981</v>
      </c>
      <c r="D477" s="1274" t="s">
        <v>982</v>
      </c>
      <c r="E477" s="1271" t="s">
        <v>55</v>
      </c>
      <c r="F477" s="1293">
        <v>10</v>
      </c>
      <c r="G477" s="1283">
        <v>20</v>
      </c>
      <c r="H477" s="1277">
        <v>25</v>
      </c>
      <c r="I477" s="1277">
        <v>200</v>
      </c>
      <c r="J477" s="1277">
        <v>250</v>
      </c>
      <c r="K477" s="1278">
        <f t="shared" si="14"/>
        <v>3.279823819651566E-5</v>
      </c>
      <c r="L477" s="1278">
        <f t="shared" si="15"/>
        <v>0.99665610240553903</v>
      </c>
      <c r="M477" s="1279" t="s">
        <v>2319</v>
      </c>
    </row>
    <row r="478" spans="1:13" ht="32.25" customHeight="1">
      <c r="A478" s="1271">
        <v>2298</v>
      </c>
      <c r="B478" s="1272" t="s">
        <v>67</v>
      </c>
      <c r="C478" s="1302" t="s">
        <v>427</v>
      </c>
      <c r="D478" s="1280" t="s">
        <v>428</v>
      </c>
      <c r="E478" s="1281" t="s">
        <v>61</v>
      </c>
      <c r="F478" s="1282">
        <v>5.18</v>
      </c>
      <c r="G478" s="1306">
        <v>37.840000000000003</v>
      </c>
      <c r="H478" s="1290">
        <v>47.300000000000004</v>
      </c>
      <c r="I478" s="1277">
        <v>196.0112</v>
      </c>
      <c r="J478" s="1277">
        <v>245.01400000000001</v>
      </c>
      <c r="K478" s="1278">
        <f t="shared" si="14"/>
        <v>3.2144110133924356E-5</v>
      </c>
      <c r="L478" s="1278">
        <f t="shared" si="15"/>
        <v>0.996688246515673</v>
      </c>
      <c r="M478" s="1279" t="s">
        <v>2319</v>
      </c>
    </row>
    <row r="479" spans="1:13" ht="32.25" customHeight="1">
      <c r="A479" s="1271">
        <v>91876</v>
      </c>
      <c r="B479" s="1272" t="s">
        <v>26</v>
      </c>
      <c r="C479" s="1272" t="s">
        <v>908</v>
      </c>
      <c r="D479" s="1274" t="s">
        <v>909</v>
      </c>
      <c r="E479" s="1271" t="s">
        <v>55</v>
      </c>
      <c r="F479" s="1293">
        <v>22</v>
      </c>
      <c r="G479" s="1283">
        <v>8.8000000000000007</v>
      </c>
      <c r="H479" s="1277">
        <v>11</v>
      </c>
      <c r="I479" s="1277">
        <v>193.60000000000002</v>
      </c>
      <c r="J479" s="1277">
        <v>242</v>
      </c>
      <c r="K479" s="1278">
        <f t="shared" si="14"/>
        <v>3.1748694574227162E-5</v>
      </c>
      <c r="L479" s="1278">
        <f t="shared" si="15"/>
        <v>0.99671999521024723</v>
      </c>
      <c r="M479" s="1279" t="s">
        <v>2319</v>
      </c>
    </row>
    <row r="480" spans="1:13" ht="28.5">
      <c r="A480" s="1285">
        <v>10266</v>
      </c>
      <c r="B480" s="1286" t="s">
        <v>67</v>
      </c>
      <c r="C480" s="1272" t="s">
        <v>599</v>
      </c>
      <c r="D480" s="1294" t="s">
        <v>600</v>
      </c>
      <c r="E480" s="1271" t="s">
        <v>96</v>
      </c>
      <c r="F480" s="1275">
        <v>7</v>
      </c>
      <c r="G480" s="1283">
        <v>26.94</v>
      </c>
      <c r="H480" s="1277">
        <v>33.675000000000004</v>
      </c>
      <c r="I480" s="1277">
        <v>188.58</v>
      </c>
      <c r="J480" s="1277">
        <v>235.72500000000002</v>
      </c>
      <c r="K480" s="1278">
        <f t="shared" si="14"/>
        <v>3.0925458795494617E-5</v>
      </c>
      <c r="L480" s="1278">
        <f t="shared" si="15"/>
        <v>0.99675092066904269</v>
      </c>
      <c r="M480" s="1279" t="s">
        <v>2319</v>
      </c>
    </row>
    <row r="481" spans="1:13" ht="28.5">
      <c r="A481" s="1271" t="s">
        <v>818</v>
      </c>
      <c r="B481" s="1272" t="s">
        <v>67</v>
      </c>
      <c r="C481" s="1272" t="s">
        <v>819</v>
      </c>
      <c r="D481" s="1274" t="s">
        <v>820</v>
      </c>
      <c r="E481" s="1271" t="s">
        <v>55</v>
      </c>
      <c r="F481" s="1293">
        <v>9</v>
      </c>
      <c r="G481" s="1283">
        <v>20.46</v>
      </c>
      <c r="H481" s="1277">
        <v>25.575000000000003</v>
      </c>
      <c r="I481" s="1277">
        <v>184.14000000000001</v>
      </c>
      <c r="J481" s="1277">
        <v>230.17500000000001</v>
      </c>
      <c r="K481" s="1278">
        <f t="shared" si="14"/>
        <v>3.0197337907531972E-5</v>
      </c>
      <c r="L481" s="1278">
        <f t="shared" si="15"/>
        <v>0.99678111800695024</v>
      </c>
      <c r="M481" s="1279" t="s">
        <v>2319</v>
      </c>
    </row>
    <row r="482" spans="1:13" ht="42.75">
      <c r="A482" s="1271">
        <v>89814</v>
      </c>
      <c r="B482" s="1272" t="s">
        <v>26</v>
      </c>
      <c r="C482" s="1272" t="s">
        <v>479</v>
      </c>
      <c r="D482" s="1294" t="s">
        <v>480</v>
      </c>
      <c r="E482" s="1271" t="s">
        <v>55</v>
      </c>
      <c r="F482" s="1275">
        <v>10</v>
      </c>
      <c r="G482" s="1283">
        <v>18.21</v>
      </c>
      <c r="H482" s="1277">
        <v>22.762500000000003</v>
      </c>
      <c r="I482" s="1277">
        <v>182.10000000000002</v>
      </c>
      <c r="J482" s="1277">
        <v>227.62500000000003</v>
      </c>
      <c r="K482" s="1278">
        <f t="shared" si="14"/>
        <v>2.9862795877927513E-5</v>
      </c>
      <c r="L482" s="1278">
        <f t="shared" si="15"/>
        <v>0.99681098080282815</v>
      </c>
      <c r="M482" s="1279" t="s">
        <v>2319</v>
      </c>
    </row>
    <row r="483" spans="1:13" ht="42.75">
      <c r="A483" s="1285">
        <v>89783</v>
      </c>
      <c r="B483" s="1286" t="s">
        <v>26</v>
      </c>
      <c r="C483" s="1272" t="s">
        <v>564</v>
      </c>
      <c r="D483" s="1294" t="s">
        <v>565</v>
      </c>
      <c r="E483" s="1271" t="s">
        <v>96</v>
      </c>
      <c r="F483" s="1275">
        <v>13</v>
      </c>
      <c r="G483" s="1283">
        <v>13.78</v>
      </c>
      <c r="H483" s="1277">
        <v>17.224999999999998</v>
      </c>
      <c r="I483" s="1277">
        <v>179.14</v>
      </c>
      <c r="J483" s="1277">
        <v>223.92499999999998</v>
      </c>
      <c r="K483" s="1278">
        <f t="shared" si="14"/>
        <v>2.9377381952619076E-5</v>
      </c>
      <c r="L483" s="1278">
        <f t="shared" si="15"/>
        <v>0.99684035818478078</v>
      </c>
      <c r="M483" s="1279" t="s">
        <v>2319</v>
      </c>
    </row>
    <row r="484" spans="1:13" ht="18" customHeight="1">
      <c r="A484" s="1271" t="s">
        <v>509</v>
      </c>
      <c r="B484" s="1272" t="s">
        <v>26</v>
      </c>
      <c r="C484" s="1272" t="s">
        <v>510</v>
      </c>
      <c r="D484" s="1294" t="s">
        <v>511</v>
      </c>
      <c r="E484" s="1271" t="s">
        <v>55</v>
      </c>
      <c r="F484" s="1275">
        <v>12</v>
      </c>
      <c r="G484" s="1283">
        <v>14.54</v>
      </c>
      <c r="H484" s="1277">
        <v>18.174999999999997</v>
      </c>
      <c r="I484" s="1277">
        <v>174.48</v>
      </c>
      <c r="J484" s="1277">
        <v>218.09999999999997</v>
      </c>
      <c r="K484" s="1278">
        <f t="shared" si="14"/>
        <v>2.8613183002640259E-5</v>
      </c>
      <c r="L484" s="1278">
        <f t="shared" si="15"/>
        <v>0.99686897136778341</v>
      </c>
      <c r="M484" s="1279" t="s">
        <v>2319</v>
      </c>
    </row>
    <row r="485" spans="1:13" ht="39.75" customHeight="1">
      <c r="A485" s="1271">
        <v>9139</v>
      </c>
      <c r="B485" s="1272" t="s">
        <v>67</v>
      </c>
      <c r="C485" s="1271" t="s">
        <v>1034</v>
      </c>
      <c r="D485" s="1274" t="s">
        <v>1035</v>
      </c>
      <c r="E485" s="1271" t="s">
        <v>55</v>
      </c>
      <c r="F485" s="1293">
        <v>4</v>
      </c>
      <c r="G485" s="1283">
        <v>43.58</v>
      </c>
      <c r="H485" s="1277">
        <v>54.474999999999994</v>
      </c>
      <c r="I485" s="1277">
        <v>174.32</v>
      </c>
      <c r="J485" s="1277">
        <v>217.89999999999998</v>
      </c>
      <c r="K485" s="1278">
        <f t="shared" si="14"/>
        <v>2.8586944412083046E-5</v>
      </c>
      <c r="L485" s="1278">
        <f t="shared" si="15"/>
        <v>0.99689755831219551</v>
      </c>
      <c r="M485" s="1279" t="s">
        <v>2319</v>
      </c>
    </row>
    <row r="486" spans="1:13" ht="23.45" customHeight="1">
      <c r="A486" s="1271">
        <v>9139</v>
      </c>
      <c r="B486" s="1272" t="s">
        <v>67</v>
      </c>
      <c r="C486" s="1272" t="s">
        <v>1186</v>
      </c>
      <c r="D486" s="1274" t="s">
        <v>1187</v>
      </c>
      <c r="E486" s="1271" t="s">
        <v>55</v>
      </c>
      <c r="F486" s="1293">
        <v>4</v>
      </c>
      <c r="G486" s="1283">
        <v>43.58</v>
      </c>
      <c r="H486" s="1277">
        <v>54.474999999999994</v>
      </c>
      <c r="I486" s="1277">
        <v>174.32</v>
      </c>
      <c r="J486" s="1277">
        <v>217.89999999999998</v>
      </c>
      <c r="K486" s="1278">
        <f t="shared" si="14"/>
        <v>2.8586944412083046E-5</v>
      </c>
      <c r="L486" s="1278">
        <f t="shared" si="15"/>
        <v>0.99692614525660761</v>
      </c>
      <c r="M486" s="1279" t="s">
        <v>2319</v>
      </c>
    </row>
    <row r="487" spans="1:13" ht="24" customHeight="1">
      <c r="A487" s="1271" t="s">
        <v>722</v>
      </c>
      <c r="B487" s="1272" t="s">
        <v>67</v>
      </c>
      <c r="C487" s="1272" t="s">
        <v>723</v>
      </c>
      <c r="D487" s="1274" t="s">
        <v>724</v>
      </c>
      <c r="E487" s="1271" t="s">
        <v>55</v>
      </c>
      <c r="F487" s="1293">
        <v>1</v>
      </c>
      <c r="G487" s="1283">
        <v>169</v>
      </c>
      <c r="H487" s="1277">
        <v>211.25</v>
      </c>
      <c r="I487" s="1277">
        <v>169</v>
      </c>
      <c r="J487" s="1277">
        <v>211.25</v>
      </c>
      <c r="K487" s="1278">
        <f t="shared" si="14"/>
        <v>2.7714511276055732E-5</v>
      </c>
      <c r="L487" s="1278">
        <f t="shared" si="15"/>
        <v>0.99695385976788364</v>
      </c>
      <c r="M487" s="1279" t="s">
        <v>2319</v>
      </c>
    </row>
    <row r="488" spans="1:13">
      <c r="A488" s="1271">
        <v>2833</v>
      </c>
      <c r="B488" s="1272" t="s">
        <v>67</v>
      </c>
      <c r="C488" s="1272" t="s">
        <v>746</v>
      </c>
      <c r="D488" s="1274" t="s">
        <v>747</v>
      </c>
      <c r="E488" s="1271" t="s">
        <v>55</v>
      </c>
      <c r="F488" s="1293">
        <v>12</v>
      </c>
      <c r="G488" s="1283">
        <v>14</v>
      </c>
      <c r="H488" s="1277">
        <v>17.5</v>
      </c>
      <c r="I488" s="1277">
        <v>168</v>
      </c>
      <c r="J488" s="1277">
        <v>210</v>
      </c>
      <c r="K488" s="1278">
        <f t="shared" si="14"/>
        <v>2.7550520085073155E-5</v>
      </c>
      <c r="L488" s="1278">
        <f t="shared" si="15"/>
        <v>0.99698141028796872</v>
      </c>
      <c r="M488" s="1279" t="s">
        <v>2319</v>
      </c>
    </row>
    <row r="489" spans="1:13">
      <c r="A489" s="1271" t="s">
        <v>2658</v>
      </c>
      <c r="B489" s="1271"/>
      <c r="C489" s="1271" t="s">
        <v>1350</v>
      </c>
      <c r="D489" s="1274" t="s">
        <v>1351</v>
      </c>
      <c r="E489" s="1295" t="s">
        <v>246</v>
      </c>
      <c r="F489" s="1275">
        <v>7</v>
      </c>
      <c r="G489" s="1293">
        <v>23.81</v>
      </c>
      <c r="H489" s="1293">
        <v>29.762499999999999</v>
      </c>
      <c r="I489" s="1293">
        <v>166.67</v>
      </c>
      <c r="J489" s="1275">
        <v>208.33750000000001</v>
      </c>
      <c r="K489" s="1278">
        <f t="shared" si="14"/>
        <v>2.7332411801066325E-5</v>
      </c>
      <c r="L489" s="1278">
        <f t="shared" si="15"/>
        <v>0.9970087426997698</v>
      </c>
      <c r="M489" s="1279" t="s">
        <v>2319</v>
      </c>
    </row>
    <row r="490" spans="1:13" ht="28.5">
      <c r="A490" s="1271">
        <v>377</v>
      </c>
      <c r="B490" s="1272" t="s">
        <v>67</v>
      </c>
      <c r="C490" s="1272" t="s">
        <v>804</v>
      </c>
      <c r="D490" s="1274" t="s">
        <v>805</v>
      </c>
      <c r="E490" s="1271" t="s">
        <v>55</v>
      </c>
      <c r="F490" s="1293">
        <v>6</v>
      </c>
      <c r="G490" s="1283">
        <v>27.28</v>
      </c>
      <c r="H490" s="1277">
        <v>34.1</v>
      </c>
      <c r="I490" s="1277">
        <v>163.68</v>
      </c>
      <c r="J490" s="1277">
        <v>204.60000000000002</v>
      </c>
      <c r="K490" s="1278">
        <f t="shared" si="14"/>
        <v>2.6842078140028419E-5</v>
      </c>
      <c r="L490" s="1278">
        <f t="shared" si="15"/>
        <v>0.99703558477790988</v>
      </c>
      <c r="M490" s="1279" t="s">
        <v>2319</v>
      </c>
    </row>
    <row r="491" spans="1:13" ht="42" customHeight="1">
      <c r="A491" s="1271">
        <v>12138</v>
      </c>
      <c r="B491" s="1272" t="s">
        <v>67</v>
      </c>
      <c r="C491" s="1272" t="s">
        <v>652</v>
      </c>
      <c r="D491" s="1280" t="s">
        <v>653</v>
      </c>
      <c r="E491" s="1281" t="s">
        <v>55</v>
      </c>
      <c r="F491" s="1282">
        <v>7</v>
      </c>
      <c r="G491" s="1283">
        <v>23.13</v>
      </c>
      <c r="H491" s="1277">
        <v>28.912499999999998</v>
      </c>
      <c r="I491" s="1277">
        <v>161.91</v>
      </c>
      <c r="J491" s="1277">
        <v>202.38749999999999</v>
      </c>
      <c r="K491" s="1278">
        <f t="shared" si="14"/>
        <v>2.6551813731989252E-5</v>
      </c>
      <c r="L491" s="1278">
        <f t="shared" si="15"/>
        <v>0.99706213659164189</v>
      </c>
      <c r="M491" s="1279" t="s">
        <v>2319</v>
      </c>
    </row>
    <row r="492" spans="1:13" ht="28.5">
      <c r="A492" s="1271">
        <v>8344</v>
      </c>
      <c r="B492" s="1272" t="s">
        <v>67</v>
      </c>
      <c r="C492" s="1272" t="s">
        <v>123</v>
      </c>
      <c r="D492" s="1274" t="s">
        <v>124</v>
      </c>
      <c r="E492" s="1271" t="s">
        <v>61</v>
      </c>
      <c r="F492" s="1291">
        <v>19.600899999999999</v>
      </c>
      <c r="G492" s="1292">
        <v>8.16</v>
      </c>
      <c r="H492" s="1283">
        <v>10.199999999999999</v>
      </c>
      <c r="I492" s="1277">
        <v>159.943344</v>
      </c>
      <c r="J492" s="1277">
        <v>199.92917999999997</v>
      </c>
      <c r="K492" s="1278">
        <f t="shared" si="14"/>
        <v>2.6229299472296217E-5</v>
      </c>
      <c r="L492" s="1278">
        <f t="shared" si="15"/>
        <v>0.99708836589111416</v>
      </c>
      <c r="M492" s="1279" t="s">
        <v>2319</v>
      </c>
    </row>
    <row r="493" spans="1:13">
      <c r="A493" s="1285">
        <v>1548</v>
      </c>
      <c r="B493" s="1286" t="s">
        <v>67</v>
      </c>
      <c r="C493" s="1272" t="s">
        <v>556</v>
      </c>
      <c r="D493" s="1294" t="s">
        <v>557</v>
      </c>
      <c r="E493" s="1271" t="s">
        <v>96</v>
      </c>
      <c r="F493" s="1275">
        <v>2</v>
      </c>
      <c r="G493" s="1283">
        <v>78.959999999999994</v>
      </c>
      <c r="H493" s="1277">
        <v>98.699999999999989</v>
      </c>
      <c r="I493" s="1277">
        <v>157.91999999999999</v>
      </c>
      <c r="J493" s="1277">
        <v>197.39999999999998</v>
      </c>
      <c r="K493" s="1278">
        <f t="shared" si="14"/>
        <v>2.5897488879968764E-5</v>
      </c>
      <c r="L493" s="1278">
        <f t="shared" si="15"/>
        <v>0.99711426337999409</v>
      </c>
      <c r="M493" s="1279" t="s">
        <v>2319</v>
      </c>
    </row>
    <row r="494" spans="1:13" ht="30.75" customHeight="1">
      <c r="A494" s="1271">
        <v>1160</v>
      </c>
      <c r="B494" s="1272" t="s">
        <v>67</v>
      </c>
      <c r="C494" s="1272" t="s">
        <v>487</v>
      </c>
      <c r="D494" s="1294" t="s">
        <v>488</v>
      </c>
      <c r="E494" s="1271" t="s">
        <v>55</v>
      </c>
      <c r="F494" s="1275">
        <v>12</v>
      </c>
      <c r="G494" s="1283">
        <v>12.77</v>
      </c>
      <c r="H494" s="1277">
        <v>15.962499999999999</v>
      </c>
      <c r="I494" s="1277">
        <v>153.24</v>
      </c>
      <c r="J494" s="1277">
        <v>191.54999999999998</v>
      </c>
      <c r="K494" s="1278">
        <f t="shared" si="14"/>
        <v>2.5130010106170297E-5</v>
      </c>
      <c r="L494" s="1278">
        <f t="shared" si="15"/>
        <v>0.99713939339010027</v>
      </c>
      <c r="M494" s="1279" t="s">
        <v>2319</v>
      </c>
    </row>
    <row r="495" spans="1:13" ht="30.75" customHeight="1">
      <c r="A495" s="1285">
        <v>1672</v>
      </c>
      <c r="B495" s="1286" t="s">
        <v>67</v>
      </c>
      <c r="C495" s="1272" t="s">
        <v>546</v>
      </c>
      <c r="D495" s="1294" t="s">
        <v>547</v>
      </c>
      <c r="E495" s="1271" t="s">
        <v>96</v>
      </c>
      <c r="F495" s="1275">
        <v>10</v>
      </c>
      <c r="G495" s="1283">
        <v>15.31</v>
      </c>
      <c r="H495" s="1277">
        <v>19.137499999999999</v>
      </c>
      <c r="I495" s="1277">
        <v>153.1</v>
      </c>
      <c r="J495" s="1277">
        <v>191.375</v>
      </c>
      <c r="K495" s="1278">
        <f t="shared" si="14"/>
        <v>2.5107051339432738E-5</v>
      </c>
      <c r="L495" s="1278">
        <f t="shared" si="15"/>
        <v>0.99716450044143967</v>
      </c>
      <c r="M495" s="1279" t="s">
        <v>2319</v>
      </c>
    </row>
    <row r="496" spans="1:13" ht="28.5">
      <c r="A496" s="1271">
        <v>363</v>
      </c>
      <c r="B496" s="1272" t="s">
        <v>67</v>
      </c>
      <c r="C496" s="1272" t="s">
        <v>906</v>
      </c>
      <c r="D496" s="1274" t="s">
        <v>907</v>
      </c>
      <c r="E496" s="1271" t="s">
        <v>55</v>
      </c>
      <c r="F496" s="1293">
        <v>18</v>
      </c>
      <c r="G496" s="1283">
        <v>8.41</v>
      </c>
      <c r="H496" s="1277">
        <v>10.512499999999999</v>
      </c>
      <c r="I496" s="1277">
        <v>151.38</v>
      </c>
      <c r="J496" s="1277">
        <v>189.22499999999999</v>
      </c>
      <c r="K496" s="1278">
        <f t="shared" si="14"/>
        <v>2.4824986490942704E-5</v>
      </c>
      <c r="L496" s="1278">
        <f t="shared" si="15"/>
        <v>0.9971893254279306</v>
      </c>
      <c r="M496" s="1279" t="s">
        <v>2319</v>
      </c>
    </row>
    <row r="497" spans="1:13" ht="28.5">
      <c r="A497" s="1271">
        <v>1043</v>
      </c>
      <c r="B497" s="1271" t="s">
        <v>67</v>
      </c>
      <c r="C497" s="1299" t="s">
        <v>449</v>
      </c>
      <c r="D497" s="1274" t="s">
        <v>450</v>
      </c>
      <c r="E497" s="1271" t="s">
        <v>55</v>
      </c>
      <c r="F497" s="1275">
        <v>6</v>
      </c>
      <c r="G497" s="1283">
        <v>24.93</v>
      </c>
      <c r="H497" s="1283">
        <v>31.162500000000001</v>
      </c>
      <c r="I497" s="1283">
        <v>149.57999999999998</v>
      </c>
      <c r="J497" s="1283">
        <v>186.97500000000002</v>
      </c>
      <c r="K497" s="1278">
        <f t="shared" si="14"/>
        <v>2.4529802347174064E-5</v>
      </c>
      <c r="L497" s="1278">
        <f t="shared" si="15"/>
        <v>0.99721385523027772</v>
      </c>
      <c r="M497" s="1279" t="s">
        <v>2319</v>
      </c>
    </row>
    <row r="498" spans="1:13" ht="28.5">
      <c r="A498" s="1271">
        <v>2288</v>
      </c>
      <c r="B498" s="1272" t="s">
        <v>67</v>
      </c>
      <c r="C498" s="1302" t="s">
        <v>431</v>
      </c>
      <c r="D498" s="1280" t="s">
        <v>432</v>
      </c>
      <c r="E498" s="1281" t="s">
        <v>61</v>
      </c>
      <c r="F498" s="1282">
        <v>8.66</v>
      </c>
      <c r="G498" s="1306">
        <v>17.14</v>
      </c>
      <c r="H498" s="1290">
        <v>21.425000000000001</v>
      </c>
      <c r="I498" s="1277">
        <v>148.4324</v>
      </c>
      <c r="J498" s="1277">
        <v>185.54050000000001</v>
      </c>
      <c r="K498" s="1278">
        <f t="shared" si="14"/>
        <v>2.4341606056402457E-5</v>
      </c>
      <c r="L498" s="1278">
        <f t="shared" si="15"/>
        <v>0.99723819683633408</v>
      </c>
      <c r="M498" s="1279" t="s">
        <v>2319</v>
      </c>
    </row>
    <row r="499" spans="1:13" ht="28.5">
      <c r="A499" s="1285">
        <v>1588</v>
      </c>
      <c r="B499" s="1286" t="s">
        <v>67</v>
      </c>
      <c r="C499" s="1272" t="s">
        <v>577</v>
      </c>
      <c r="D499" s="1294" t="s">
        <v>578</v>
      </c>
      <c r="E499" s="1271" t="s">
        <v>96</v>
      </c>
      <c r="F499" s="1275">
        <v>3</v>
      </c>
      <c r="G499" s="1283">
        <v>49.22</v>
      </c>
      <c r="H499" s="1277">
        <v>61.524999999999999</v>
      </c>
      <c r="I499" s="1277">
        <v>147.66</v>
      </c>
      <c r="J499" s="1277">
        <v>184.57499999999999</v>
      </c>
      <c r="K499" s="1278">
        <f t="shared" si="14"/>
        <v>2.4214939260487511E-5</v>
      </c>
      <c r="L499" s="1278">
        <f t="shared" si="15"/>
        <v>0.9972624117755946</v>
      </c>
      <c r="M499" s="1279" t="s">
        <v>2319</v>
      </c>
    </row>
    <row r="500" spans="1:13" ht="42.75">
      <c r="A500" s="1271">
        <v>95676</v>
      </c>
      <c r="B500" s="1272" t="s">
        <v>26</v>
      </c>
      <c r="C500" s="1272" t="s">
        <v>459</v>
      </c>
      <c r="D500" s="1294" t="s">
        <v>460</v>
      </c>
      <c r="E500" s="1271" t="s">
        <v>55</v>
      </c>
      <c r="F500" s="1275">
        <v>1</v>
      </c>
      <c r="G500" s="1283">
        <v>145.80000000000001</v>
      </c>
      <c r="H500" s="1277">
        <v>182.25</v>
      </c>
      <c r="I500" s="1277">
        <v>145.80000000000001</v>
      </c>
      <c r="J500" s="1277">
        <v>182.25</v>
      </c>
      <c r="K500" s="1278">
        <f t="shared" si="14"/>
        <v>2.3909915645259915E-5</v>
      </c>
      <c r="L500" s="1278">
        <f t="shared" si="15"/>
        <v>0.99728632169123987</v>
      </c>
      <c r="M500" s="1279" t="s">
        <v>2319</v>
      </c>
    </row>
    <row r="501" spans="1:13">
      <c r="A501" s="1271">
        <v>1171</v>
      </c>
      <c r="B501" s="1272" t="s">
        <v>67</v>
      </c>
      <c r="C501" s="1272" t="s">
        <v>512</v>
      </c>
      <c r="D501" s="1294" t="s">
        <v>513</v>
      </c>
      <c r="E501" s="1271" t="s">
        <v>55</v>
      </c>
      <c r="F501" s="1275">
        <v>6</v>
      </c>
      <c r="G501" s="1283">
        <v>24.28</v>
      </c>
      <c r="H501" s="1277">
        <v>30.35</v>
      </c>
      <c r="I501" s="1277">
        <v>145.68</v>
      </c>
      <c r="J501" s="1277">
        <v>182.10000000000002</v>
      </c>
      <c r="K501" s="1278">
        <f t="shared" si="14"/>
        <v>2.3890236702342009E-5</v>
      </c>
      <c r="L501" s="1278">
        <f t="shared" si="15"/>
        <v>0.99731021192794223</v>
      </c>
      <c r="M501" s="1279" t="s">
        <v>2319</v>
      </c>
    </row>
    <row r="502" spans="1:13" ht="28.5">
      <c r="A502" s="1271">
        <v>1159</v>
      </c>
      <c r="B502" s="1272" t="s">
        <v>67</v>
      </c>
      <c r="C502" s="1272" t="s">
        <v>489</v>
      </c>
      <c r="D502" s="1294" t="s">
        <v>490</v>
      </c>
      <c r="E502" s="1271" t="s">
        <v>55</v>
      </c>
      <c r="F502" s="1275">
        <v>18</v>
      </c>
      <c r="G502" s="1283">
        <v>7.96</v>
      </c>
      <c r="H502" s="1277">
        <v>9.9499999999999993</v>
      </c>
      <c r="I502" s="1277">
        <v>143.28</v>
      </c>
      <c r="J502" s="1277">
        <v>179.1</v>
      </c>
      <c r="K502" s="1278">
        <f t="shared" si="14"/>
        <v>2.3496657843983819E-5</v>
      </c>
      <c r="L502" s="1278">
        <f t="shared" si="15"/>
        <v>0.99733370858578618</v>
      </c>
      <c r="M502" s="1279" t="s">
        <v>2319</v>
      </c>
    </row>
    <row r="503" spans="1:13">
      <c r="A503" s="1271">
        <v>9816</v>
      </c>
      <c r="B503" s="1272" t="s">
        <v>67</v>
      </c>
      <c r="C503" s="1272" t="s">
        <v>1163</v>
      </c>
      <c r="D503" s="1274" t="s">
        <v>1162</v>
      </c>
      <c r="E503" s="1271" t="s">
        <v>55</v>
      </c>
      <c r="F503" s="1293">
        <v>320</v>
      </c>
      <c r="G503" s="1283">
        <v>0.44</v>
      </c>
      <c r="H503" s="1277">
        <v>0.55000000000000004</v>
      </c>
      <c r="I503" s="1277">
        <v>140.80000000000001</v>
      </c>
      <c r="J503" s="1277">
        <v>176</v>
      </c>
      <c r="K503" s="1278">
        <f t="shared" si="14"/>
        <v>2.3089959690347026E-5</v>
      </c>
      <c r="L503" s="1278">
        <f t="shared" si="15"/>
        <v>0.99735679854547654</v>
      </c>
      <c r="M503" s="1279" t="s">
        <v>2319</v>
      </c>
    </row>
    <row r="504" spans="1:13" ht="28.5">
      <c r="A504" s="1285" t="s">
        <v>570</v>
      </c>
      <c r="B504" s="1286" t="s">
        <v>67</v>
      </c>
      <c r="C504" s="1272" t="s">
        <v>571</v>
      </c>
      <c r="D504" s="1294" t="s">
        <v>572</v>
      </c>
      <c r="E504" s="1271" t="s">
        <v>96</v>
      </c>
      <c r="F504" s="1275">
        <v>18</v>
      </c>
      <c r="G504" s="1283">
        <v>7.75</v>
      </c>
      <c r="H504" s="1277">
        <v>9.6875</v>
      </c>
      <c r="I504" s="1277">
        <v>139.5</v>
      </c>
      <c r="J504" s="1277">
        <v>174.375</v>
      </c>
      <c r="K504" s="1278">
        <f t="shared" si="14"/>
        <v>2.2876771142069673E-5</v>
      </c>
      <c r="L504" s="1278">
        <f t="shared" si="15"/>
        <v>0.99737967531661864</v>
      </c>
      <c r="M504" s="1279" t="s">
        <v>2319</v>
      </c>
    </row>
    <row r="505" spans="1:13">
      <c r="A505" s="1271">
        <v>1170</v>
      </c>
      <c r="B505" s="1272" t="s">
        <v>67</v>
      </c>
      <c r="C505" s="1272" t="s">
        <v>507</v>
      </c>
      <c r="D505" s="1294" t="s">
        <v>508</v>
      </c>
      <c r="E505" s="1271" t="s">
        <v>55</v>
      </c>
      <c r="F505" s="1275">
        <v>6</v>
      </c>
      <c r="G505" s="1283">
        <v>23.18</v>
      </c>
      <c r="H505" s="1277">
        <v>28.975000000000001</v>
      </c>
      <c r="I505" s="1277">
        <v>139.07999999999998</v>
      </c>
      <c r="J505" s="1277">
        <v>173.85000000000002</v>
      </c>
      <c r="K505" s="1278">
        <f t="shared" si="14"/>
        <v>2.2807894841856992E-5</v>
      </c>
      <c r="L505" s="1278">
        <f t="shared" si="15"/>
        <v>0.99740248321146052</v>
      </c>
      <c r="M505" s="1279" t="s">
        <v>2319</v>
      </c>
    </row>
    <row r="506" spans="1:13" ht="28.5">
      <c r="A506" s="1271">
        <v>88496</v>
      </c>
      <c r="B506" s="1272" t="s">
        <v>26</v>
      </c>
      <c r="C506" s="1302" t="s">
        <v>425</v>
      </c>
      <c r="D506" s="1280" t="s">
        <v>426</v>
      </c>
      <c r="E506" s="1281" t="s">
        <v>61</v>
      </c>
      <c r="F506" s="1282">
        <v>5.18</v>
      </c>
      <c r="G506" s="1306">
        <v>26.03</v>
      </c>
      <c r="H506" s="1290">
        <v>32.537500000000001</v>
      </c>
      <c r="I506" s="1277">
        <v>134.83539999999999</v>
      </c>
      <c r="J506" s="1277">
        <v>168.54425000000001</v>
      </c>
      <c r="K506" s="1278">
        <f t="shared" si="14"/>
        <v>2.2111817832612341E-5</v>
      </c>
      <c r="L506" s="1278">
        <f t="shared" si="15"/>
        <v>0.99742459502929315</v>
      </c>
      <c r="M506" s="1279" t="s">
        <v>2319</v>
      </c>
    </row>
    <row r="507" spans="1:13" ht="25.9" customHeight="1">
      <c r="A507" s="1271">
        <v>11572</v>
      </c>
      <c r="B507" s="1272" t="s">
        <v>67</v>
      </c>
      <c r="C507" s="1272" t="s">
        <v>886</v>
      </c>
      <c r="D507" s="1274" t="s">
        <v>887</v>
      </c>
      <c r="E507" s="1271" t="s">
        <v>55</v>
      </c>
      <c r="F507" s="1293">
        <v>1</v>
      </c>
      <c r="G507" s="1283">
        <v>133.33000000000001</v>
      </c>
      <c r="H507" s="1277">
        <v>166.66250000000002</v>
      </c>
      <c r="I507" s="1277">
        <v>133.33000000000001</v>
      </c>
      <c r="J507" s="1277">
        <v>166.66250000000002</v>
      </c>
      <c r="K507" s="1278">
        <f t="shared" si="14"/>
        <v>2.1864945493707168E-5</v>
      </c>
      <c r="L507" s="1278">
        <f t="shared" si="15"/>
        <v>0.99744645997478687</v>
      </c>
      <c r="M507" s="1279" t="s">
        <v>2319</v>
      </c>
    </row>
    <row r="508" spans="1:13" ht="71.25">
      <c r="A508" s="1271">
        <v>94703</v>
      </c>
      <c r="B508" s="1272" t="s">
        <v>26</v>
      </c>
      <c r="C508" s="1272" t="s">
        <v>447</v>
      </c>
      <c r="D508" s="1274" t="s">
        <v>448</v>
      </c>
      <c r="E508" s="1271" t="s">
        <v>55</v>
      </c>
      <c r="F508" s="1275">
        <v>6</v>
      </c>
      <c r="G508" s="1283">
        <v>21.93</v>
      </c>
      <c r="H508" s="1277">
        <v>27.412500000000001</v>
      </c>
      <c r="I508" s="1277">
        <v>131.57999999999998</v>
      </c>
      <c r="J508" s="1277">
        <v>164.47500000000002</v>
      </c>
      <c r="K508" s="1278">
        <f t="shared" si="14"/>
        <v>2.1577960909487658E-5</v>
      </c>
      <c r="L508" s="1278">
        <f t="shared" si="15"/>
        <v>0.99746803793569638</v>
      </c>
      <c r="M508" s="1279" t="s">
        <v>2319</v>
      </c>
    </row>
    <row r="509" spans="1:13" ht="57">
      <c r="A509" s="1271">
        <v>94498</v>
      </c>
      <c r="B509" s="1272" t="s">
        <v>26</v>
      </c>
      <c r="C509" s="1272" t="s">
        <v>499</v>
      </c>
      <c r="D509" s="1294" t="s">
        <v>500</v>
      </c>
      <c r="E509" s="1271" t="s">
        <v>55</v>
      </c>
      <c r="F509" s="1275">
        <v>6</v>
      </c>
      <c r="G509" s="1283">
        <v>21.88</v>
      </c>
      <c r="H509" s="1277">
        <v>27.349999999999998</v>
      </c>
      <c r="I509" s="1277">
        <v>131.28</v>
      </c>
      <c r="J509" s="1277">
        <v>164.1</v>
      </c>
      <c r="K509" s="1278">
        <f t="shared" si="14"/>
        <v>2.1528763552192879E-5</v>
      </c>
      <c r="L509" s="1278">
        <f t="shared" si="15"/>
        <v>0.9974895666992486</v>
      </c>
      <c r="M509" s="1279" t="s">
        <v>2319</v>
      </c>
    </row>
    <row r="510" spans="1:13" ht="20.45" customHeight="1">
      <c r="A510" s="1295">
        <v>721</v>
      </c>
      <c r="B510" s="1272" t="s">
        <v>67</v>
      </c>
      <c r="C510" s="1272" t="s">
        <v>1157</v>
      </c>
      <c r="D510" s="1274" t="s">
        <v>1156</v>
      </c>
      <c r="E510" s="1271" t="s">
        <v>55</v>
      </c>
      <c r="F510" s="1293">
        <v>60</v>
      </c>
      <c r="G510" s="1283">
        <v>2.16</v>
      </c>
      <c r="H510" s="1277">
        <v>2.7</v>
      </c>
      <c r="I510" s="1277">
        <v>129.60000000000002</v>
      </c>
      <c r="J510" s="1277">
        <v>162</v>
      </c>
      <c r="K510" s="1278">
        <f t="shared" si="14"/>
        <v>2.1253258351342148E-5</v>
      </c>
      <c r="L510" s="1278">
        <f t="shared" si="15"/>
        <v>0.99751081995759994</v>
      </c>
      <c r="M510" s="1279" t="s">
        <v>2319</v>
      </c>
    </row>
    <row r="511" spans="1:13" ht="25.5" customHeight="1">
      <c r="A511" s="1295">
        <v>12032</v>
      </c>
      <c r="B511" s="1295" t="s">
        <v>67</v>
      </c>
      <c r="C511" s="1273" t="s">
        <v>1263</v>
      </c>
      <c r="D511" s="1274" t="s">
        <v>1264</v>
      </c>
      <c r="E511" s="1271" t="s">
        <v>109</v>
      </c>
      <c r="F511" s="1293">
        <v>0.34199999999999997</v>
      </c>
      <c r="G511" s="1283">
        <v>373.26</v>
      </c>
      <c r="H511" s="1277">
        <v>466.57499999999999</v>
      </c>
      <c r="I511" s="1313">
        <v>127.65491999999999</v>
      </c>
      <c r="J511" s="1313">
        <v>159.56864999999999</v>
      </c>
      <c r="K511" s="1278">
        <f t="shared" si="14"/>
        <v>2.0934282365585754E-5</v>
      </c>
      <c r="L511" s="1278">
        <f t="shared" si="15"/>
        <v>0.99753175423996554</v>
      </c>
      <c r="M511" s="1279" t="s">
        <v>2319</v>
      </c>
    </row>
    <row r="512" spans="1:13" ht="23.45" customHeight="1">
      <c r="A512" s="1271">
        <v>96846</v>
      </c>
      <c r="B512" s="1272" t="s">
        <v>26</v>
      </c>
      <c r="C512" s="1272" t="s">
        <v>463</v>
      </c>
      <c r="D512" s="1294" t="s">
        <v>464</v>
      </c>
      <c r="E512" s="1271" t="s">
        <v>55</v>
      </c>
      <c r="F512" s="1275">
        <v>4</v>
      </c>
      <c r="G512" s="1283">
        <v>31.87</v>
      </c>
      <c r="H512" s="1277">
        <v>39.837499999999999</v>
      </c>
      <c r="I512" s="1277">
        <v>127.48</v>
      </c>
      <c r="J512" s="1277">
        <v>159.35</v>
      </c>
      <c r="K512" s="1278">
        <f t="shared" si="14"/>
        <v>2.090559702645908E-5</v>
      </c>
      <c r="L512" s="1278">
        <f t="shared" si="15"/>
        <v>0.99755265983699204</v>
      </c>
      <c r="M512" s="1279" t="s">
        <v>2319</v>
      </c>
    </row>
    <row r="513" spans="1:16" ht="28.5">
      <c r="A513" s="1271">
        <v>7929</v>
      </c>
      <c r="B513" s="1272" t="s">
        <v>67</v>
      </c>
      <c r="C513" s="1272" t="s">
        <v>874</v>
      </c>
      <c r="D513" s="1274" t="s">
        <v>875</v>
      </c>
      <c r="E513" s="1271" t="s">
        <v>55</v>
      </c>
      <c r="F513" s="1293">
        <v>16</v>
      </c>
      <c r="G513" s="1283">
        <v>7.95</v>
      </c>
      <c r="H513" s="1277">
        <v>9.9375</v>
      </c>
      <c r="I513" s="1277">
        <v>127.2</v>
      </c>
      <c r="J513" s="1277">
        <v>159</v>
      </c>
      <c r="K513" s="1278">
        <f t="shared" si="14"/>
        <v>2.0859679492983958E-5</v>
      </c>
      <c r="L513" s="1278">
        <f t="shared" si="15"/>
        <v>0.99757351951648499</v>
      </c>
      <c r="M513" s="1279" t="s">
        <v>2319</v>
      </c>
    </row>
    <row r="514" spans="1:16" ht="24" customHeight="1">
      <c r="A514" s="1271" t="s">
        <v>827</v>
      </c>
      <c r="B514" s="1272" t="s">
        <v>26</v>
      </c>
      <c r="C514" s="1272" t="s">
        <v>828</v>
      </c>
      <c r="D514" s="1274" t="s">
        <v>829</v>
      </c>
      <c r="E514" s="1271" t="s">
        <v>55</v>
      </c>
      <c r="F514" s="1293">
        <v>1</v>
      </c>
      <c r="G514" s="1283">
        <v>127.04</v>
      </c>
      <c r="H514" s="1277">
        <v>158.80000000000001</v>
      </c>
      <c r="I514" s="1277">
        <v>127.04</v>
      </c>
      <c r="J514" s="1277">
        <v>158.80000000000001</v>
      </c>
      <c r="K514" s="1278">
        <f t="shared" ref="K514:K577" si="16">J514/$N$1</f>
        <v>2.0833440902426749E-5</v>
      </c>
      <c r="L514" s="1278">
        <f t="shared" si="15"/>
        <v>0.99759435295738741</v>
      </c>
      <c r="M514" s="1279" t="s">
        <v>2319</v>
      </c>
    </row>
    <row r="515" spans="1:16" ht="20.45" customHeight="1">
      <c r="A515" s="1271">
        <v>92312</v>
      </c>
      <c r="B515" s="1272" t="s">
        <v>26</v>
      </c>
      <c r="C515" s="1273" t="s">
        <v>1250</v>
      </c>
      <c r="D515" s="1274" t="s">
        <v>1251</v>
      </c>
      <c r="E515" s="1271" t="s">
        <v>55</v>
      </c>
      <c r="F515" s="1293">
        <v>6</v>
      </c>
      <c r="G515" s="1283">
        <v>20.74</v>
      </c>
      <c r="H515" s="1277">
        <v>25.924999999999997</v>
      </c>
      <c r="I515" s="1313">
        <v>124.44</v>
      </c>
      <c r="J515" s="1313">
        <v>155.54999999999998</v>
      </c>
      <c r="K515" s="1278">
        <f t="shared" si="16"/>
        <v>2.040706380587204E-5</v>
      </c>
      <c r="L515" s="1278">
        <f t="shared" si="15"/>
        <v>0.99761476002119331</v>
      </c>
      <c r="M515" s="1279" t="s">
        <v>2319</v>
      </c>
    </row>
    <row r="516" spans="1:16" ht="28.5">
      <c r="A516" s="1271" t="s">
        <v>786</v>
      </c>
      <c r="B516" s="1272" t="s">
        <v>26</v>
      </c>
      <c r="C516" s="1272" t="s">
        <v>787</v>
      </c>
      <c r="D516" s="1274" t="s">
        <v>788</v>
      </c>
      <c r="E516" s="1271" t="s">
        <v>55</v>
      </c>
      <c r="F516" s="1293">
        <v>4</v>
      </c>
      <c r="G516" s="1283">
        <v>30.97</v>
      </c>
      <c r="H516" s="1277">
        <v>38.712499999999999</v>
      </c>
      <c r="I516" s="1277">
        <v>123.88</v>
      </c>
      <c r="J516" s="1277">
        <v>154.85</v>
      </c>
      <c r="K516" s="1278">
        <f t="shared" si="16"/>
        <v>2.03152287389218E-5</v>
      </c>
      <c r="L516" s="1278">
        <f t="shared" ref="L516:L579" si="17">K516+L515</f>
        <v>0.99763507524993222</v>
      </c>
      <c r="M516" s="1279" t="s">
        <v>2319</v>
      </c>
    </row>
    <row r="517" spans="1:16" ht="44.25" customHeight="1">
      <c r="A517" s="1271" t="s">
        <v>774</v>
      </c>
      <c r="B517" s="1272" t="s">
        <v>67</v>
      </c>
      <c r="C517" s="1272" t="s">
        <v>775</v>
      </c>
      <c r="D517" s="1274" t="s">
        <v>776</v>
      </c>
      <c r="E517" s="1271" t="s">
        <v>55</v>
      </c>
      <c r="F517" s="1293">
        <v>6</v>
      </c>
      <c r="G517" s="1283">
        <v>19.97</v>
      </c>
      <c r="H517" s="1277">
        <v>24.962499999999999</v>
      </c>
      <c r="I517" s="1277">
        <v>119.82</v>
      </c>
      <c r="J517" s="1277">
        <v>149.77499999999998</v>
      </c>
      <c r="K517" s="1278">
        <f t="shared" si="16"/>
        <v>1.964942450353253E-5</v>
      </c>
      <c r="L517" s="1278">
        <f t="shared" si="17"/>
        <v>0.99765472467443572</v>
      </c>
      <c r="M517" s="1279" t="s">
        <v>2319</v>
      </c>
    </row>
    <row r="518" spans="1:16" ht="32.25" customHeight="1">
      <c r="A518" s="1271" t="s">
        <v>783</v>
      </c>
      <c r="B518" s="1272" t="s">
        <v>26</v>
      </c>
      <c r="C518" s="1272" t="s">
        <v>784</v>
      </c>
      <c r="D518" s="1274" t="s">
        <v>785</v>
      </c>
      <c r="E518" s="1271" t="s">
        <v>55</v>
      </c>
      <c r="F518" s="1293">
        <v>6</v>
      </c>
      <c r="G518" s="1283">
        <v>19.97</v>
      </c>
      <c r="H518" s="1277">
        <v>24.962499999999999</v>
      </c>
      <c r="I518" s="1277">
        <v>119.82</v>
      </c>
      <c r="J518" s="1277">
        <v>149.77499999999998</v>
      </c>
      <c r="K518" s="1278">
        <f t="shared" si="16"/>
        <v>1.964942450353253E-5</v>
      </c>
      <c r="L518" s="1278">
        <f t="shared" si="17"/>
        <v>0.99767437409893922</v>
      </c>
      <c r="M518" s="1279" t="s">
        <v>2319</v>
      </c>
    </row>
    <row r="519" spans="1:16" ht="28.5">
      <c r="A519" s="1271">
        <v>95674</v>
      </c>
      <c r="B519" s="1272" t="s">
        <v>26</v>
      </c>
      <c r="C519" s="1272" t="s">
        <v>461</v>
      </c>
      <c r="D519" s="1294" t="s">
        <v>462</v>
      </c>
      <c r="E519" s="1271" t="s">
        <v>55</v>
      </c>
      <c r="F519" s="1275">
        <v>1</v>
      </c>
      <c r="G519" s="1283">
        <v>119.53</v>
      </c>
      <c r="H519" s="1277">
        <v>149.41249999999999</v>
      </c>
      <c r="I519" s="1277">
        <v>119.53</v>
      </c>
      <c r="J519" s="1277">
        <v>149.41249999999999</v>
      </c>
      <c r="K519" s="1278">
        <f t="shared" si="16"/>
        <v>1.9601867058147585E-5</v>
      </c>
      <c r="L519" s="1278">
        <f t="shared" si="17"/>
        <v>0.9976939759659974</v>
      </c>
      <c r="M519" s="1279" t="s">
        <v>2319</v>
      </c>
    </row>
    <row r="520" spans="1:16" ht="30" customHeight="1">
      <c r="A520" s="1271">
        <v>7594</v>
      </c>
      <c r="B520" s="1272" t="s">
        <v>67</v>
      </c>
      <c r="C520" s="1272" t="s">
        <v>501</v>
      </c>
      <c r="D520" s="1294" t="s">
        <v>502</v>
      </c>
      <c r="E520" s="1271" t="s">
        <v>55</v>
      </c>
      <c r="F520" s="1275">
        <v>6</v>
      </c>
      <c r="G520" s="1303">
        <v>19.91</v>
      </c>
      <c r="H520" s="1277">
        <v>24.887499999999999</v>
      </c>
      <c r="I520" s="1277">
        <v>119.46000000000001</v>
      </c>
      <c r="J520" s="1277">
        <v>149.32499999999999</v>
      </c>
      <c r="K520" s="1278">
        <f t="shared" si="16"/>
        <v>1.9590387674778802E-5</v>
      </c>
      <c r="L520" s="1278">
        <f t="shared" si="17"/>
        <v>0.99771356635367214</v>
      </c>
      <c r="M520" s="1279" t="s">
        <v>2319</v>
      </c>
    </row>
    <row r="521" spans="1:16">
      <c r="A521" s="1271">
        <v>1152</v>
      </c>
      <c r="B521" s="1272" t="s">
        <v>67</v>
      </c>
      <c r="C521" s="1272" t="s">
        <v>481</v>
      </c>
      <c r="D521" s="1294" t="s">
        <v>482</v>
      </c>
      <c r="E521" s="1271" t="s">
        <v>55</v>
      </c>
      <c r="F521" s="1275">
        <v>10</v>
      </c>
      <c r="G521" s="1283">
        <v>11.76</v>
      </c>
      <c r="H521" s="1277">
        <v>14.7</v>
      </c>
      <c r="I521" s="1277">
        <v>117.6</v>
      </c>
      <c r="J521" s="1277">
        <v>147</v>
      </c>
      <c r="K521" s="1278">
        <f t="shared" si="16"/>
        <v>1.9285364059551209E-5</v>
      </c>
      <c r="L521" s="1278">
        <f t="shared" si="17"/>
        <v>0.99773285171773174</v>
      </c>
      <c r="M521" s="1279" t="s">
        <v>2319</v>
      </c>
    </row>
    <row r="522" spans="1:16" ht="30" customHeight="1">
      <c r="A522" s="1271">
        <v>8362</v>
      </c>
      <c r="B522" s="1272" t="s">
        <v>67</v>
      </c>
      <c r="C522" s="1272" t="s">
        <v>1176</v>
      </c>
      <c r="D522" s="1274" t="s">
        <v>1087</v>
      </c>
      <c r="E522" s="1271" t="s">
        <v>55</v>
      </c>
      <c r="F522" s="1293">
        <v>5</v>
      </c>
      <c r="G522" s="1283">
        <v>22.96</v>
      </c>
      <c r="H522" s="1277">
        <v>28.700000000000003</v>
      </c>
      <c r="I522" s="1277">
        <v>114.80000000000001</v>
      </c>
      <c r="J522" s="1277">
        <v>143.5</v>
      </c>
      <c r="K522" s="1278">
        <f t="shared" si="16"/>
        <v>1.8826188724799987E-5</v>
      </c>
      <c r="L522" s="1278">
        <f t="shared" si="17"/>
        <v>0.99775167790645658</v>
      </c>
      <c r="M522" s="1279" t="s">
        <v>2319</v>
      </c>
    </row>
    <row r="523" spans="1:16" ht="28.15" customHeight="1">
      <c r="A523" s="1271">
        <v>8006</v>
      </c>
      <c r="B523" s="1272" t="s">
        <v>67</v>
      </c>
      <c r="C523" s="1272" t="s">
        <v>862</v>
      </c>
      <c r="D523" s="1274" t="s">
        <v>863</v>
      </c>
      <c r="E523" s="1271" t="s">
        <v>55</v>
      </c>
      <c r="F523" s="1293">
        <v>58</v>
      </c>
      <c r="G523" s="1283">
        <v>1.91</v>
      </c>
      <c r="H523" s="1277">
        <v>2.3874999999999997</v>
      </c>
      <c r="I523" s="1277">
        <v>110.78</v>
      </c>
      <c r="J523" s="1277">
        <v>138.47499999999999</v>
      </c>
      <c r="K523" s="1278">
        <f t="shared" si="16"/>
        <v>1.8166944137050023E-5</v>
      </c>
      <c r="L523" s="1278">
        <f t="shared" si="17"/>
        <v>0.99776984485059361</v>
      </c>
      <c r="M523" s="1279" t="s">
        <v>2319</v>
      </c>
    </row>
    <row r="524" spans="1:16" ht="25.9" customHeight="1">
      <c r="A524" s="1271">
        <v>1151</v>
      </c>
      <c r="B524" s="1272" t="s">
        <v>67</v>
      </c>
      <c r="C524" s="1272" t="s">
        <v>483</v>
      </c>
      <c r="D524" s="1294" t="s">
        <v>484</v>
      </c>
      <c r="E524" s="1271" t="s">
        <v>55</v>
      </c>
      <c r="F524" s="1275">
        <v>16</v>
      </c>
      <c r="G524" s="1283">
        <v>6.89</v>
      </c>
      <c r="H524" s="1277">
        <v>8.6124999999999989</v>
      </c>
      <c r="I524" s="1277">
        <v>110.24</v>
      </c>
      <c r="J524" s="1277">
        <v>137.79999999999998</v>
      </c>
      <c r="K524" s="1278">
        <f t="shared" si="16"/>
        <v>1.807838889391943E-5</v>
      </c>
      <c r="L524" s="1278">
        <f t="shared" si="17"/>
        <v>0.99778792323948751</v>
      </c>
      <c r="M524" s="1279" t="s">
        <v>2319</v>
      </c>
      <c r="P524" s="1315"/>
    </row>
    <row r="525" spans="1:16" ht="28.5">
      <c r="A525" s="1271">
        <v>93656</v>
      </c>
      <c r="B525" s="1272" t="s">
        <v>26</v>
      </c>
      <c r="C525" s="1272" t="s">
        <v>878</v>
      </c>
      <c r="D525" s="1274" t="s">
        <v>879</v>
      </c>
      <c r="E525" s="1271" t="s">
        <v>55</v>
      </c>
      <c r="F525" s="1293">
        <v>7</v>
      </c>
      <c r="G525" s="1283">
        <v>15.57</v>
      </c>
      <c r="H525" s="1277">
        <v>19.462499999999999</v>
      </c>
      <c r="I525" s="1277">
        <v>108.99000000000001</v>
      </c>
      <c r="J525" s="1277">
        <v>136.23749999999998</v>
      </c>
      <c r="K525" s="1278">
        <f t="shared" si="16"/>
        <v>1.7873399905191206E-5</v>
      </c>
      <c r="L525" s="1278">
        <f t="shared" si="17"/>
        <v>0.99780579663939273</v>
      </c>
      <c r="M525" s="1279" t="s">
        <v>2319</v>
      </c>
      <c r="P525" s="1316"/>
    </row>
    <row r="526" spans="1:16" s="1309" customFormat="1" ht="28.5">
      <c r="A526" s="1271">
        <v>12557</v>
      </c>
      <c r="B526" s="1272" t="s">
        <v>67</v>
      </c>
      <c r="C526" s="1272" t="s">
        <v>848</v>
      </c>
      <c r="D526" s="1274" t="s">
        <v>849</v>
      </c>
      <c r="E526" s="1271" t="s">
        <v>55</v>
      </c>
      <c r="F526" s="1293">
        <v>8</v>
      </c>
      <c r="G526" s="1283">
        <v>13.4</v>
      </c>
      <c r="H526" s="1277">
        <v>16.75</v>
      </c>
      <c r="I526" s="1277">
        <v>107.2</v>
      </c>
      <c r="J526" s="1277">
        <v>134</v>
      </c>
      <c r="K526" s="1278">
        <f t="shared" si="16"/>
        <v>1.7579855673332393E-5</v>
      </c>
      <c r="L526" s="1278">
        <f t="shared" si="17"/>
        <v>0.99782337649506603</v>
      </c>
      <c r="M526" s="1279" t="s">
        <v>2319</v>
      </c>
      <c r="N526" s="1189"/>
      <c r="O526" s="1189"/>
      <c r="P526" s="1316"/>
    </row>
    <row r="527" spans="1:16" ht="23.45" customHeight="1">
      <c r="A527" s="1271">
        <v>89414</v>
      </c>
      <c r="B527" s="1272" t="s">
        <v>26</v>
      </c>
      <c r="C527" s="1272" t="s">
        <v>475</v>
      </c>
      <c r="D527" s="1294" t="s">
        <v>476</v>
      </c>
      <c r="E527" s="1271" t="s">
        <v>55</v>
      </c>
      <c r="F527" s="1275">
        <v>8</v>
      </c>
      <c r="G527" s="1283">
        <v>13.35</v>
      </c>
      <c r="H527" s="1277">
        <v>16.6875</v>
      </c>
      <c r="I527" s="1277">
        <v>106.8</v>
      </c>
      <c r="J527" s="1277">
        <v>133.5</v>
      </c>
      <c r="K527" s="1278">
        <f t="shared" si="16"/>
        <v>1.7514259196939362E-5</v>
      </c>
      <c r="L527" s="1278">
        <f t="shared" si="17"/>
        <v>0.99784089075426297</v>
      </c>
      <c r="M527" s="1279" t="s">
        <v>2319</v>
      </c>
      <c r="P527" s="1316"/>
    </row>
    <row r="528" spans="1:16" ht="28.5">
      <c r="A528" s="1271" t="s">
        <v>974</v>
      </c>
      <c r="B528" s="1272" t="s">
        <v>26</v>
      </c>
      <c r="C528" s="1272" t="s">
        <v>975</v>
      </c>
      <c r="D528" s="1274" t="s">
        <v>976</v>
      </c>
      <c r="E528" s="1271" t="s">
        <v>55</v>
      </c>
      <c r="F528" s="1293">
        <v>2</v>
      </c>
      <c r="G528" s="1283">
        <v>53.3</v>
      </c>
      <c r="H528" s="1277">
        <v>66.625</v>
      </c>
      <c r="I528" s="1277">
        <v>106.6</v>
      </c>
      <c r="J528" s="1277">
        <v>133.25</v>
      </c>
      <c r="K528" s="1278">
        <f t="shared" si="16"/>
        <v>1.7481460958742846E-5</v>
      </c>
      <c r="L528" s="1278">
        <f t="shared" si="17"/>
        <v>0.99785837221522167</v>
      </c>
      <c r="M528" s="1279" t="s">
        <v>2319</v>
      </c>
      <c r="P528" s="1316"/>
    </row>
    <row r="529" spans="1:16">
      <c r="A529" s="1271">
        <v>1295</v>
      </c>
      <c r="B529" s="1272" t="s">
        <v>67</v>
      </c>
      <c r="C529" s="1272" t="s">
        <v>518</v>
      </c>
      <c r="D529" s="1294" t="s">
        <v>2726</v>
      </c>
      <c r="E529" s="1271" t="s">
        <v>55</v>
      </c>
      <c r="F529" s="1275">
        <v>4</v>
      </c>
      <c r="G529" s="1283">
        <v>25.85</v>
      </c>
      <c r="H529" s="1277">
        <v>32.3125</v>
      </c>
      <c r="I529" s="1277">
        <v>103.4</v>
      </c>
      <c r="J529" s="1277">
        <v>129.25</v>
      </c>
      <c r="K529" s="1278">
        <f t="shared" si="16"/>
        <v>1.6956689147598598E-5</v>
      </c>
      <c r="L529" s="1278">
        <f t="shared" si="17"/>
        <v>0.99787532890436925</v>
      </c>
      <c r="M529" s="1279" t="s">
        <v>2319</v>
      </c>
      <c r="P529" s="1316"/>
    </row>
    <row r="530" spans="1:16" ht="28.5">
      <c r="A530" s="1285">
        <v>2555</v>
      </c>
      <c r="B530" s="1286" t="s">
        <v>67</v>
      </c>
      <c r="C530" s="1273" t="s">
        <v>1249</v>
      </c>
      <c r="D530" s="1274" t="s">
        <v>2728</v>
      </c>
      <c r="E530" s="1271" t="s">
        <v>55</v>
      </c>
      <c r="F530" s="1293">
        <v>1</v>
      </c>
      <c r="G530" s="1283">
        <v>102.52</v>
      </c>
      <c r="H530" s="1277">
        <v>128.15</v>
      </c>
      <c r="I530" s="1313">
        <v>102.52</v>
      </c>
      <c r="J530" s="1313">
        <v>128.15</v>
      </c>
      <c r="K530" s="1278">
        <f t="shared" si="16"/>
        <v>1.6812376899533929E-5</v>
      </c>
      <c r="L530" s="1278">
        <f t="shared" si="17"/>
        <v>0.9978921412812688</v>
      </c>
      <c r="M530" s="1279" t="s">
        <v>2319</v>
      </c>
      <c r="P530" s="1317"/>
    </row>
    <row r="531" spans="1:16" ht="28.5">
      <c r="A531" s="1271">
        <v>698</v>
      </c>
      <c r="B531" s="1272" t="s">
        <v>67</v>
      </c>
      <c r="C531" s="1271" t="s">
        <v>938</v>
      </c>
      <c r="D531" s="1274" t="s">
        <v>859</v>
      </c>
      <c r="E531" s="1271" t="s">
        <v>55</v>
      </c>
      <c r="F531" s="1293">
        <v>132</v>
      </c>
      <c r="G531" s="1283">
        <v>0.77</v>
      </c>
      <c r="H531" s="1277">
        <v>0.96250000000000002</v>
      </c>
      <c r="I531" s="1277">
        <v>101.64</v>
      </c>
      <c r="J531" s="1277">
        <v>127.05</v>
      </c>
      <c r="K531" s="1278">
        <f t="shared" si="16"/>
        <v>1.6668064651469257E-5</v>
      </c>
      <c r="L531" s="1278">
        <f t="shared" si="17"/>
        <v>0.9979088093459203</v>
      </c>
      <c r="M531" s="1279" t="s">
        <v>2319</v>
      </c>
      <c r="P531" s="1317"/>
    </row>
    <row r="532" spans="1:16" ht="36" customHeight="1">
      <c r="A532" s="1271">
        <v>93020</v>
      </c>
      <c r="B532" s="1272" t="s">
        <v>26</v>
      </c>
      <c r="C532" s="1272" t="s">
        <v>894</v>
      </c>
      <c r="D532" s="1274" t="s">
        <v>895</v>
      </c>
      <c r="E532" s="1271" t="s">
        <v>55</v>
      </c>
      <c r="F532" s="1293">
        <v>4</v>
      </c>
      <c r="G532" s="1283">
        <v>25.14</v>
      </c>
      <c r="H532" s="1277">
        <v>31.425000000000001</v>
      </c>
      <c r="I532" s="1277">
        <v>100.56</v>
      </c>
      <c r="J532" s="1277">
        <v>125.7</v>
      </c>
      <c r="K532" s="1278">
        <f t="shared" si="16"/>
        <v>1.6490954165208073E-5</v>
      </c>
      <c r="L532" s="1278">
        <f t="shared" si="17"/>
        <v>0.99792530030008553</v>
      </c>
      <c r="M532" s="1279" t="s">
        <v>2319</v>
      </c>
      <c r="P532" s="1316"/>
    </row>
    <row r="533" spans="1:16" ht="36" customHeight="1">
      <c r="A533" s="1271" t="s">
        <v>2659</v>
      </c>
      <c r="B533" s="1271"/>
      <c r="C533" s="1271" t="s">
        <v>1352</v>
      </c>
      <c r="D533" s="1274" t="s">
        <v>1353</v>
      </c>
      <c r="E533" s="1295" t="s">
        <v>246</v>
      </c>
      <c r="F533" s="1275">
        <v>2</v>
      </c>
      <c r="G533" s="1293">
        <v>50</v>
      </c>
      <c r="H533" s="1293">
        <v>62.5</v>
      </c>
      <c r="I533" s="1293">
        <v>100</v>
      </c>
      <c r="J533" s="1275">
        <v>125</v>
      </c>
      <c r="K533" s="1278">
        <f t="shared" si="16"/>
        <v>1.639911909825783E-5</v>
      </c>
      <c r="L533" s="1278">
        <f t="shared" si="17"/>
        <v>0.99794169941918376</v>
      </c>
      <c r="M533" s="1279" t="s">
        <v>2319</v>
      </c>
      <c r="P533" s="1316"/>
    </row>
    <row r="534" spans="1:16" ht="24" customHeight="1">
      <c r="A534" s="1285">
        <v>1562</v>
      </c>
      <c r="B534" s="1286" t="s">
        <v>67</v>
      </c>
      <c r="C534" s="1272" t="s">
        <v>560</v>
      </c>
      <c r="D534" s="1294" t="s">
        <v>561</v>
      </c>
      <c r="E534" s="1271" t="s">
        <v>96</v>
      </c>
      <c r="F534" s="1275">
        <v>2</v>
      </c>
      <c r="G534" s="1283">
        <v>47.75</v>
      </c>
      <c r="H534" s="1277">
        <v>59.6875</v>
      </c>
      <c r="I534" s="1277">
        <v>95.5</v>
      </c>
      <c r="J534" s="1277">
        <v>119.375</v>
      </c>
      <c r="K534" s="1278">
        <f t="shared" si="16"/>
        <v>1.5661158738836228E-5</v>
      </c>
      <c r="L534" s="1278">
        <f t="shared" si="17"/>
        <v>0.99795736057792261</v>
      </c>
      <c r="M534" s="1279" t="s">
        <v>2319</v>
      </c>
      <c r="P534" s="1316"/>
    </row>
    <row r="535" spans="1:16" ht="28.5">
      <c r="A535" s="1271" t="s">
        <v>777</v>
      </c>
      <c r="B535" s="1272" t="s">
        <v>26</v>
      </c>
      <c r="C535" s="1272" t="s">
        <v>778</v>
      </c>
      <c r="D535" s="1274" t="s">
        <v>779</v>
      </c>
      <c r="E535" s="1271" t="s">
        <v>55</v>
      </c>
      <c r="F535" s="1293">
        <v>6</v>
      </c>
      <c r="G535" s="1283">
        <v>15.75</v>
      </c>
      <c r="H535" s="1277">
        <v>19.6875</v>
      </c>
      <c r="I535" s="1277">
        <v>94.5</v>
      </c>
      <c r="J535" s="1277">
        <v>118.125</v>
      </c>
      <c r="K535" s="1278">
        <f t="shared" si="16"/>
        <v>1.5497167547853651E-5</v>
      </c>
      <c r="L535" s="1278">
        <f t="shared" si="17"/>
        <v>0.99797285774547051</v>
      </c>
      <c r="M535" s="1279" t="s">
        <v>2319</v>
      </c>
      <c r="P535" s="1316"/>
    </row>
    <row r="536" spans="1:16">
      <c r="A536" s="1271" t="s">
        <v>2581</v>
      </c>
      <c r="B536" s="1272"/>
      <c r="C536" s="1272" t="s">
        <v>813</v>
      </c>
      <c r="D536" s="1274" t="s">
        <v>814</v>
      </c>
      <c r="E536" s="1271" t="s">
        <v>55</v>
      </c>
      <c r="F536" s="1293">
        <v>2</v>
      </c>
      <c r="G536" s="1283">
        <v>45.274000000000001</v>
      </c>
      <c r="H536" s="1277">
        <v>56.592500000000001</v>
      </c>
      <c r="I536" s="1277">
        <v>90.548000000000002</v>
      </c>
      <c r="J536" s="1277">
        <v>113.185</v>
      </c>
      <c r="K536" s="1278">
        <f t="shared" si="16"/>
        <v>1.48490743610905E-5</v>
      </c>
      <c r="L536" s="1278">
        <f t="shared" si="17"/>
        <v>0.99798770681983162</v>
      </c>
      <c r="M536" s="1279" t="s">
        <v>2319</v>
      </c>
      <c r="P536" s="1316"/>
    </row>
    <row r="537" spans="1:16" ht="42" customHeight="1">
      <c r="A537" s="1285">
        <v>89811</v>
      </c>
      <c r="B537" s="1286" t="s">
        <v>26</v>
      </c>
      <c r="C537" s="1272" t="s">
        <v>554</v>
      </c>
      <c r="D537" s="1294" t="s">
        <v>555</v>
      </c>
      <c r="E537" s="1271" t="s">
        <v>96</v>
      </c>
      <c r="F537" s="1275">
        <v>2</v>
      </c>
      <c r="G537" s="1283">
        <v>44.44</v>
      </c>
      <c r="H537" s="1277">
        <v>55.55</v>
      </c>
      <c r="I537" s="1277">
        <v>88.88</v>
      </c>
      <c r="J537" s="1277">
        <v>111.1</v>
      </c>
      <c r="K537" s="1278">
        <f t="shared" si="16"/>
        <v>1.4575537054531558E-5</v>
      </c>
      <c r="L537" s="1278">
        <f t="shared" si="17"/>
        <v>0.99800228235688615</v>
      </c>
      <c r="M537" s="1279" t="s">
        <v>2319</v>
      </c>
      <c r="P537" s="1316"/>
    </row>
    <row r="538" spans="1:16" ht="28.5">
      <c r="A538" s="1271">
        <v>10428</v>
      </c>
      <c r="B538" s="1272" t="s">
        <v>67</v>
      </c>
      <c r="C538" s="1272" t="s">
        <v>983</v>
      </c>
      <c r="D538" s="1274" t="s">
        <v>984</v>
      </c>
      <c r="E538" s="1271" t="s">
        <v>55</v>
      </c>
      <c r="F538" s="1293">
        <v>8</v>
      </c>
      <c r="G538" s="1283">
        <v>11</v>
      </c>
      <c r="H538" s="1277">
        <v>13.75</v>
      </c>
      <c r="I538" s="1277">
        <v>88</v>
      </c>
      <c r="J538" s="1277">
        <v>110</v>
      </c>
      <c r="K538" s="1278">
        <f t="shared" si="16"/>
        <v>1.443122480646689E-5</v>
      </c>
      <c r="L538" s="1278">
        <f t="shared" si="17"/>
        <v>0.99801671358169264</v>
      </c>
      <c r="M538" s="1279" t="s">
        <v>2319</v>
      </c>
      <c r="P538" s="1316"/>
    </row>
    <row r="539" spans="1:16" ht="28.5">
      <c r="A539" s="1271">
        <v>12558</v>
      </c>
      <c r="B539" s="1272" t="s">
        <v>67</v>
      </c>
      <c r="C539" s="1272" t="s">
        <v>844</v>
      </c>
      <c r="D539" s="1274" t="s">
        <v>845</v>
      </c>
      <c r="E539" s="1271" t="s">
        <v>55</v>
      </c>
      <c r="F539" s="1293">
        <v>6</v>
      </c>
      <c r="G539" s="1283">
        <v>14.55</v>
      </c>
      <c r="H539" s="1277">
        <v>18.1875</v>
      </c>
      <c r="I539" s="1277">
        <v>87.300000000000011</v>
      </c>
      <c r="J539" s="1277">
        <v>109.125</v>
      </c>
      <c r="K539" s="1278">
        <f t="shared" si="16"/>
        <v>1.4316430972779086E-5</v>
      </c>
      <c r="L539" s="1278">
        <f t="shared" si="17"/>
        <v>0.99803103001266547</v>
      </c>
      <c r="M539" s="1279" t="s">
        <v>2319</v>
      </c>
      <c r="P539" s="1316"/>
    </row>
    <row r="540" spans="1:16" ht="28.5">
      <c r="A540" s="1271">
        <v>93653</v>
      </c>
      <c r="B540" s="1272" t="s">
        <v>26</v>
      </c>
      <c r="C540" s="1271" t="s">
        <v>1047</v>
      </c>
      <c r="D540" s="1274" t="s">
        <v>1048</v>
      </c>
      <c r="E540" s="1271" t="s">
        <v>55</v>
      </c>
      <c r="F540" s="1293">
        <v>6</v>
      </c>
      <c r="G540" s="1283">
        <v>13.76</v>
      </c>
      <c r="H540" s="1277">
        <v>17.2</v>
      </c>
      <c r="I540" s="1277">
        <v>82.56</v>
      </c>
      <c r="J540" s="1277">
        <v>103.19999999999999</v>
      </c>
      <c r="K540" s="1278">
        <f t="shared" si="16"/>
        <v>1.3539112727521664E-5</v>
      </c>
      <c r="L540" s="1278">
        <f t="shared" si="17"/>
        <v>0.99804456912539297</v>
      </c>
      <c r="M540" s="1279" t="s">
        <v>2319</v>
      </c>
      <c r="P540" s="1316"/>
    </row>
    <row r="541" spans="1:16" ht="35.450000000000003" customHeight="1">
      <c r="A541" s="1285">
        <v>1657</v>
      </c>
      <c r="B541" s="1286" t="s">
        <v>67</v>
      </c>
      <c r="C541" s="1272" t="s">
        <v>573</v>
      </c>
      <c r="D541" s="1294" t="s">
        <v>574</v>
      </c>
      <c r="E541" s="1271" t="s">
        <v>96</v>
      </c>
      <c r="F541" s="1275">
        <v>4</v>
      </c>
      <c r="G541" s="1283">
        <v>20.63</v>
      </c>
      <c r="H541" s="1277">
        <v>25.787499999999998</v>
      </c>
      <c r="I541" s="1277">
        <v>82.52</v>
      </c>
      <c r="J541" s="1277">
        <v>103.14999999999999</v>
      </c>
      <c r="K541" s="1278">
        <f t="shared" si="16"/>
        <v>1.3532553079882361E-5</v>
      </c>
      <c r="L541" s="1278">
        <f t="shared" si="17"/>
        <v>0.99805810167847286</v>
      </c>
      <c r="M541" s="1279" t="s">
        <v>2319</v>
      </c>
      <c r="P541" s="1316"/>
    </row>
    <row r="542" spans="1:16" ht="39.6" customHeight="1">
      <c r="A542" s="1295">
        <v>364</v>
      </c>
      <c r="B542" s="1307" t="s">
        <v>67</v>
      </c>
      <c r="C542" s="1272" t="s">
        <v>1207</v>
      </c>
      <c r="D542" s="1274" t="s">
        <v>1126</v>
      </c>
      <c r="E542" s="1271" t="s">
        <v>55</v>
      </c>
      <c r="F542" s="1293">
        <v>7</v>
      </c>
      <c r="G542" s="1283">
        <v>11.54</v>
      </c>
      <c r="H542" s="1277">
        <v>14.424999999999999</v>
      </c>
      <c r="I542" s="1277">
        <v>80.78</v>
      </c>
      <c r="J542" s="1277">
        <v>100.97499999999999</v>
      </c>
      <c r="K542" s="1278">
        <f t="shared" si="16"/>
        <v>1.3247208407572675E-5</v>
      </c>
      <c r="L542" s="1278">
        <f t="shared" si="17"/>
        <v>0.99807134888688043</v>
      </c>
      <c r="M542" s="1279" t="s">
        <v>2319</v>
      </c>
      <c r="P542" s="1316"/>
    </row>
    <row r="543" spans="1:16" ht="28.5">
      <c r="A543" s="1295">
        <v>72263</v>
      </c>
      <c r="B543" s="1307" t="s">
        <v>26</v>
      </c>
      <c r="C543" s="1272" t="s">
        <v>990</v>
      </c>
      <c r="D543" s="1274" t="s">
        <v>991</v>
      </c>
      <c r="E543" s="1271" t="s">
        <v>55</v>
      </c>
      <c r="F543" s="1293">
        <v>20</v>
      </c>
      <c r="G543" s="1283">
        <v>3.83</v>
      </c>
      <c r="H543" s="1277">
        <v>4.7874999999999996</v>
      </c>
      <c r="I543" s="1277">
        <v>76.599999999999994</v>
      </c>
      <c r="J543" s="1277">
        <v>95.75</v>
      </c>
      <c r="K543" s="1278">
        <f t="shared" si="16"/>
        <v>1.2561725229265499E-5</v>
      </c>
      <c r="L543" s="1278">
        <f t="shared" si="17"/>
        <v>0.99808391061210966</v>
      </c>
      <c r="M543" s="1279" t="s">
        <v>2319</v>
      </c>
      <c r="P543" s="1316"/>
    </row>
    <row r="544" spans="1:16" ht="71.25">
      <c r="A544" s="1271">
        <v>94662</v>
      </c>
      <c r="B544" s="1272" t="s">
        <v>26</v>
      </c>
      <c r="C544" s="1272" t="s">
        <v>451</v>
      </c>
      <c r="D544" s="1274" t="s">
        <v>452</v>
      </c>
      <c r="E544" s="1271" t="s">
        <v>55</v>
      </c>
      <c r="F544" s="1275">
        <v>6</v>
      </c>
      <c r="G544" s="1283">
        <v>12.65</v>
      </c>
      <c r="H544" s="1277">
        <v>15.8125</v>
      </c>
      <c r="I544" s="1277">
        <v>75.900000000000006</v>
      </c>
      <c r="J544" s="1277">
        <v>94.875</v>
      </c>
      <c r="K544" s="1278">
        <f t="shared" si="16"/>
        <v>1.2446931395577692E-5</v>
      </c>
      <c r="L544" s="1278">
        <f t="shared" si="17"/>
        <v>0.99809635754350523</v>
      </c>
      <c r="M544" s="1279" t="s">
        <v>2319</v>
      </c>
      <c r="P544" s="1317"/>
    </row>
    <row r="545" spans="1:16" ht="28.5">
      <c r="A545" s="1271" t="s">
        <v>791</v>
      </c>
      <c r="B545" s="1272" t="s">
        <v>26</v>
      </c>
      <c r="C545" s="1272" t="s">
        <v>792</v>
      </c>
      <c r="D545" s="1274" t="s">
        <v>793</v>
      </c>
      <c r="E545" s="1271" t="s">
        <v>55</v>
      </c>
      <c r="F545" s="1293">
        <v>2</v>
      </c>
      <c r="G545" s="1283">
        <v>36.71</v>
      </c>
      <c r="H545" s="1277">
        <v>45.887500000000003</v>
      </c>
      <c r="I545" s="1277">
        <v>73.42</v>
      </c>
      <c r="J545" s="1277">
        <v>91.775000000000006</v>
      </c>
      <c r="K545" s="1278">
        <f t="shared" si="16"/>
        <v>1.20402332419409E-5</v>
      </c>
      <c r="L545" s="1278">
        <f t="shared" si="17"/>
        <v>0.9981083977767472</v>
      </c>
      <c r="M545" s="1279" t="s">
        <v>2319</v>
      </c>
      <c r="P545" s="1317"/>
    </row>
    <row r="546" spans="1:16" ht="43.5">
      <c r="A546" s="1271">
        <v>2306</v>
      </c>
      <c r="B546" s="1272" t="s">
        <v>67</v>
      </c>
      <c r="C546" s="1302" t="s">
        <v>423</v>
      </c>
      <c r="D546" s="1280" t="s">
        <v>424</v>
      </c>
      <c r="E546" s="1281" t="s">
        <v>61</v>
      </c>
      <c r="F546" s="1282">
        <v>3.695780000000001</v>
      </c>
      <c r="G546" s="1276">
        <v>19.25</v>
      </c>
      <c r="H546" s="1277">
        <v>24.0625</v>
      </c>
      <c r="I546" s="1277">
        <v>71.143765000000016</v>
      </c>
      <c r="J546" s="1277">
        <v>88.929706250000024</v>
      </c>
      <c r="K546" s="1278">
        <f t="shared" si="16"/>
        <v>1.1666950753334673E-5</v>
      </c>
      <c r="L546" s="1278">
        <f t="shared" si="17"/>
        <v>0.99812006472750059</v>
      </c>
      <c r="M546" s="1279" t="s">
        <v>2319</v>
      </c>
      <c r="P546" s="1316"/>
    </row>
    <row r="547" spans="1:16" ht="28.5">
      <c r="A547" s="1271">
        <v>7817</v>
      </c>
      <c r="B547" s="1272" t="s">
        <v>67</v>
      </c>
      <c r="C547" s="1272" t="s">
        <v>1184</v>
      </c>
      <c r="D547" s="1274" t="s">
        <v>1109</v>
      </c>
      <c r="E547" s="1271" t="s">
        <v>55</v>
      </c>
      <c r="F547" s="1293">
        <v>1</v>
      </c>
      <c r="G547" s="1283">
        <v>70</v>
      </c>
      <c r="H547" s="1277">
        <v>87.5</v>
      </c>
      <c r="I547" s="1277">
        <v>70</v>
      </c>
      <c r="J547" s="1277">
        <v>87.5</v>
      </c>
      <c r="K547" s="1278">
        <f t="shared" si="16"/>
        <v>1.1479383368780482E-5</v>
      </c>
      <c r="L547" s="1278">
        <f t="shared" si="17"/>
        <v>0.99813154411086935</v>
      </c>
      <c r="M547" s="1279" t="s">
        <v>2319</v>
      </c>
      <c r="P547" s="1316"/>
    </row>
    <row r="548" spans="1:16" ht="28.5">
      <c r="A548" s="1271">
        <v>1074</v>
      </c>
      <c r="B548" s="1272" t="s">
        <v>67</v>
      </c>
      <c r="C548" s="1272" t="s">
        <v>485</v>
      </c>
      <c r="D548" s="1294" t="s">
        <v>486</v>
      </c>
      <c r="E548" s="1271" t="s">
        <v>55</v>
      </c>
      <c r="F548" s="1275">
        <v>6</v>
      </c>
      <c r="G548" s="1283">
        <v>11.66</v>
      </c>
      <c r="H548" s="1277">
        <v>14.574999999999999</v>
      </c>
      <c r="I548" s="1277">
        <v>69.960000000000008</v>
      </c>
      <c r="J548" s="1277">
        <v>87.449999999999989</v>
      </c>
      <c r="K548" s="1278">
        <f t="shared" si="16"/>
        <v>1.1472823721141177E-5</v>
      </c>
      <c r="L548" s="1278">
        <f t="shared" si="17"/>
        <v>0.99814301693459051</v>
      </c>
      <c r="M548" s="1279" t="s">
        <v>2319</v>
      </c>
      <c r="P548" s="1316"/>
    </row>
    <row r="549" spans="1:16" ht="42.75">
      <c r="A549" s="1271">
        <v>91885</v>
      </c>
      <c r="B549" s="1272" t="s">
        <v>26</v>
      </c>
      <c r="C549" s="1271" t="s">
        <v>1039</v>
      </c>
      <c r="D549" s="1274" t="s">
        <v>1040</v>
      </c>
      <c r="E549" s="1271" t="s">
        <v>55</v>
      </c>
      <c r="F549" s="1293">
        <v>6</v>
      </c>
      <c r="G549" s="1283">
        <v>11.59</v>
      </c>
      <c r="H549" s="1277">
        <v>14.487500000000001</v>
      </c>
      <c r="I549" s="1277">
        <v>69.539999999999992</v>
      </c>
      <c r="J549" s="1277">
        <v>86.925000000000011</v>
      </c>
      <c r="K549" s="1278">
        <f t="shared" si="16"/>
        <v>1.1403947420928496E-5</v>
      </c>
      <c r="L549" s="1278">
        <f t="shared" si="17"/>
        <v>0.99815442088201145</v>
      </c>
      <c r="M549" s="1279" t="s">
        <v>2319</v>
      </c>
    </row>
    <row r="550" spans="1:16" ht="28.5">
      <c r="A550" s="1281">
        <v>711</v>
      </c>
      <c r="B550" s="1299" t="s">
        <v>67</v>
      </c>
      <c r="C550" s="1271" t="s">
        <v>1024</v>
      </c>
      <c r="D550" s="1280" t="s">
        <v>935</v>
      </c>
      <c r="E550" s="1281" t="s">
        <v>55</v>
      </c>
      <c r="F550" s="1282">
        <v>10</v>
      </c>
      <c r="G550" s="1289">
        <v>6.6</v>
      </c>
      <c r="H550" s="1290">
        <v>8.25</v>
      </c>
      <c r="I550" s="1290">
        <v>66</v>
      </c>
      <c r="J550" s="1290">
        <v>82.5</v>
      </c>
      <c r="K550" s="1278">
        <f t="shared" si="16"/>
        <v>1.0823418604850168E-5</v>
      </c>
      <c r="L550" s="1278">
        <f t="shared" si="17"/>
        <v>0.99816524430061626</v>
      </c>
      <c r="M550" s="1279" t="s">
        <v>2319</v>
      </c>
    </row>
    <row r="551" spans="1:16" ht="27" customHeight="1">
      <c r="A551" s="1271">
        <v>93655</v>
      </c>
      <c r="B551" s="1272" t="s">
        <v>26</v>
      </c>
      <c r="C551" s="1271" t="s">
        <v>941</v>
      </c>
      <c r="D551" s="1274" t="s">
        <v>942</v>
      </c>
      <c r="E551" s="1271" t="s">
        <v>55</v>
      </c>
      <c r="F551" s="1293">
        <v>4</v>
      </c>
      <c r="G551" s="1283">
        <v>15.57</v>
      </c>
      <c r="H551" s="1277">
        <v>19.462499999999999</v>
      </c>
      <c r="I551" s="1277">
        <v>62.28</v>
      </c>
      <c r="J551" s="1277">
        <v>77.849999999999994</v>
      </c>
      <c r="K551" s="1278">
        <f t="shared" si="16"/>
        <v>1.0213371374394977E-5</v>
      </c>
      <c r="L551" s="1278">
        <f t="shared" si="17"/>
        <v>0.99817545767199067</v>
      </c>
      <c r="M551" s="1279" t="s">
        <v>2319</v>
      </c>
    </row>
    <row r="552" spans="1:16">
      <c r="A552" s="1271" t="s">
        <v>2552</v>
      </c>
      <c r="B552" s="1272"/>
      <c r="C552" s="1272" t="s">
        <v>740</v>
      </c>
      <c r="D552" s="1274" t="s">
        <v>741</v>
      </c>
      <c r="E552" s="1271" t="s">
        <v>55</v>
      </c>
      <c r="F552" s="1293">
        <v>3</v>
      </c>
      <c r="G552" s="1283">
        <v>20.509999999999998</v>
      </c>
      <c r="H552" s="1277">
        <v>25.637499999999996</v>
      </c>
      <c r="I552" s="1277">
        <v>61.529999999999994</v>
      </c>
      <c r="J552" s="1277">
        <v>76.912499999999994</v>
      </c>
      <c r="K552" s="1278">
        <f t="shared" si="16"/>
        <v>1.0090377981158042E-5</v>
      </c>
      <c r="L552" s="1278">
        <f t="shared" si="17"/>
        <v>0.99818554804997184</v>
      </c>
      <c r="M552" s="1279" t="s">
        <v>2319</v>
      </c>
    </row>
    <row r="553" spans="1:16">
      <c r="A553" s="1271">
        <v>12506</v>
      </c>
      <c r="B553" s="1272" t="s">
        <v>67</v>
      </c>
      <c r="C553" s="1272" t="s">
        <v>1159</v>
      </c>
      <c r="D553" s="1274" t="s">
        <v>1158</v>
      </c>
      <c r="E553" s="1271" t="s">
        <v>55</v>
      </c>
      <c r="F553" s="1293">
        <v>120</v>
      </c>
      <c r="G553" s="1283">
        <v>0.51</v>
      </c>
      <c r="H553" s="1277">
        <v>0.63749999999999996</v>
      </c>
      <c r="I553" s="1277">
        <v>61.2</v>
      </c>
      <c r="J553" s="1277">
        <v>76.5</v>
      </c>
      <c r="K553" s="1278">
        <f t="shared" si="16"/>
        <v>1.0036260888133793E-5</v>
      </c>
      <c r="L553" s="1278">
        <f t="shared" si="17"/>
        <v>0.99819558431085997</v>
      </c>
      <c r="M553" s="1279" t="s">
        <v>2319</v>
      </c>
    </row>
    <row r="554" spans="1:16" ht="28.5">
      <c r="A554" s="1271">
        <v>7928</v>
      </c>
      <c r="B554" s="1272" t="s">
        <v>67</v>
      </c>
      <c r="C554" s="1272" t="s">
        <v>988</v>
      </c>
      <c r="D554" s="1280" t="s">
        <v>989</v>
      </c>
      <c r="E554" s="1281" t="s">
        <v>55</v>
      </c>
      <c r="F554" s="1282">
        <v>14</v>
      </c>
      <c r="G554" s="1289">
        <v>4.3499999999999996</v>
      </c>
      <c r="H554" s="1277">
        <v>5.4375</v>
      </c>
      <c r="I554" s="1277">
        <v>60.899999999999991</v>
      </c>
      <c r="J554" s="1277">
        <v>76.125</v>
      </c>
      <c r="K554" s="1278">
        <f t="shared" si="16"/>
        <v>9.9870635308390193E-6</v>
      </c>
      <c r="L554" s="1278">
        <f t="shared" si="17"/>
        <v>0.99820557137439081</v>
      </c>
      <c r="M554" s="1279" t="s">
        <v>2319</v>
      </c>
    </row>
    <row r="555" spans="1:16" ht="28.5">
      <c r="A555" s="1271">
        <v>7925</v>
      </c>
      <c r="B555" s="1272" t="s">
        <v>67</v>
      </c>
      <c r="C555" s="1272" t="s">
        <v>866</v>
      </c>
      <c r="D555" s="1274" t="s">
        <v>867</v>
      </c>
      <c r="E555" s="1271" t="s">
        <v>55</v>
      </c>
      <c r="F555" s="1293">
        <v>24</v>
      </c>
      <c r="G555" s="1283">
        <v>2.44</v>
      </c>
      <c r="H555" s="1277">
        <v>3.05</v>
      </c>
      <c r="I555" s="1277">
        <v>58.56</v>
      </c>
      <c r="J555" s="1277">
        <v>73.199999999999989</v>
      </c>
      <c r="K555" s="1278">
        <f t="shared" si="16"/>
        <v>9.6033241439397839E-6</v>
      </c>
      <c r="L555" s="1278">
        <f t="shared" si="17"/>
        <v>0.99821517469853471</v>
      </c>
      <c r="M555" s="1279" t="s">
        <v>2319</v>
      </c>
    </row>
    <row r="556" spans="1:16" ht="28.5">
      <c r="A556" s="1271">
        <v>364</v>
      </c>
      <c r="B556" s="1272" t="s">
        <v>67</v>
      </c>
      <c r="C556" s="1272" t="s">
        <v>1127</v>
      </c>
      <c r="D556" s="1274" t="s">
        <v>1126</v>
      </c>
      <c r="E556" s="1271" t="s">
        <v>55</v>
      </c>
      <c r="F556" s="1293">
        <v>5</v>
      </c>
      <c r="G556" s="1283">
        <v>11.54</v>
      </c>
      <c r="H556" s="1277">
        <v>14.424999999999999</v>
      </c>
      <c r="I556" s="1277">
        <v>57.699999999999996</v>
      </c>
      <c r="J556" s="1277">
        <v>72.125</v>
      </c>
      <c r="K556" s="1278">
        <f t="shared" si="16"/>
        <v>9.4622917196947688E-6</v>
      </c>
      <c r="L556" s="1278">
        <f t="shared" si="17"/>
        <v>0.99822463699025443</v>
      </c>
      <c r="M556" s="1279" t="s">
        <v>2319</v>
      </c>
    </row>
    <row r="557" spans="1:16" ht="28.5">
      <c r="A557" s="1271">
        <v>93654</v>
      </c>
      <c r="B557" s="1272" t="s">
        <v>26</v>
      </c>
      <c r="C557" s="1271" t="s">
        <v>939</v>
      </c>
      <c r="D557" s="1274" t="s">
        <v>940</v>
      </c>
      <c r="E557" s="1271" t="s">
        <v>55</v>
      </c>
      <c r="F557" s="1293">
        <v>4</v>
      </c>
      <c r="G557" s="1283">
        <v>14.35</v>
      </c>
      <c r="H557" s="1277">
        <v>17.9375</v>
      </c>
      <c r="I557" s="1277">
        <v>57.4</v>
      </c>
      <c r="J557" s="1277">
        <v>71.75</v>
      </c>
      <c r="K557" s="1278">
        <f t="shared" si="16"/>
        <v>9.4130943623999937E-6</v>
      </c>
      <c r="L557" s="1278">
        <f t="shared" si="17"/>
        <v>0.99823405008461685</v>
      </c>
      <c r="M557" s="1279" t="s">
        <v>2319</v>
      </c>
    </row>
    <row r="558" spans="1:16" ht="28.5">
      <c r="A558" s="1285">
        <v>7838</v>
      </c>
      <c r="B558" s="1286" t="s">
        <v>67</v>
      </c>
      <c r="C558" s="1273" t="s">
        <v>1247</v>
      </c>
      <c r="D558" s="1274" t="s">
        <v>1248</v>
      </c>
      <c r="E558" s="1271" t="s">
        <v>55</v>
      </c>
      <c r="F558" s="1293">
        <v>1</v>
      </c>
      <c r="G558" s="1283">
        <v>56</v>
      </c>
      <c r="H558" s="1277">
        <v>70</v>
      </c>
      <c r="I558" s="1313">
        <v>56</v>
      </c>
      <c r="J558" s="1313">
        <v>70</v>
      </c>
      <c r="K558" s="1278">
        <f t="shared" si="16"/>
        <v>9.1835066950243849E-6</v>
      </c>
      <c r="L558" s="1278">
        <f t="shared" si="17"/>
        <v>0.99824323359131184</v>
      </c>
      <c r="M558" s="1279" t="s">
        <v>2319</v>
      </c>
    </row>
    <row r="559" spans="1:16">
      <c r="A559" s="1295">
        <v>10881</v>
      </c>
      <c r="B559" s="1307" t="s">
        <v>67</v>
      </c>
      <c r="C559" s="1273" t="s">
        <v>1259</v>
      </c>
      <c r="D559" s="1274" t="s">
        <v>1260</v>
      </c>
      <c r="E559" s="1271" t="s">
        <v>55</v>
      </c>
      <c r="F559" s="1293">
        <v>1</v>
      </c>
      <c r="G559" s="1283">
        <v>55.58</v>
      </c>
      <c r="H559" s="1277">
        <v>69.474999999999994</v>
      </c>
      <c r="I559" s="1313">
        <v>55.58</v>
      </c>
      <c r="J559" s="1313">
        <v>69.474999999999994</v>
      </c>
      <c r="K559" s="1278">
        <f t="shared" si="16"/>
        <v>9.1146303948117005E-6</v>
      </c>
      <c r="L559" s="1278">
        <f t="shared" si="17"/>
        <v>0.99825234822170661</v>
      </c>
      <c r="M559" s="1279" t="s">
        <v>2319</v>
      </c>
    </row>
    <row r="560" spans="1:16" ht="36.75" customHeight="1">
      <c r="A560" s="1295">
        <v>1369</v>
      </c>
      <c r="B560" s="1307" t="s">
        <v>67</v>
      </c>
      <c r="C560" s="1273" t="s">
        <v>1254</v>
      </c>
      <c r="D560" s="1274" t="s">
        <v>1255</v>
      </c>
      <c r="E560" s="1271" t="s">
        <v>55</v>
      </c>
      <c r="F560" s="1293">
        <v>3</v>
      </c>
      <c r="G560" s="1283">
        <v>18.440000000000001</v>
      </c>
      <c r="H560" s="1277">
        <v>23.05</v>
      </c>
      <c r="I560" s="1313">
        <v>55.320000000000007</v>
      </c>
      <c r="J560" s="1313">
        <v>69.150000000000006</v>
      </c>
      <c r="K560" s="1278">
        <f t="shared" si="16"/>
        <v>9.071992685156232E-6</v>
      </c>
      <c r="L560" s="1278">
        <f t="shared" si="17"/>
        <v>0.99826142021439179</v>
      </c>
      <c r="M560" s="1279" t="s">
        <v>2319</v>
      </c>
    </row>
    <row r="561" spans="1:15">
      <c r="A561" s="1271">
        <v>354</v>
      </c>
      <c r="B561" s="1272" t="s">
        <v>67</v>
      </c>
      <c r="C561" s="1272" t="s">
        <v>1200</v>
      </c>
      <c r="D561" s="1274" t="s">
        <v>905</v>
      </c>
      <c r="E561" s="1271" t="s">
        <v>246</v>
      </c>
      <c r="F561" s="1293">
        <v>3</v>
      </c>
      <c r="G561" s="1283">
        <v>16.22</v>
      </c>
      <c r="H561" s="1277">
        <v>20.274999999999999</v>
      </c>
      <c r="I561" s="1277">
        <v>48.66</v>
      </c>
      <c r="J561" s="1277">
        <v>60.824999999999996</v>
      </c>
      <c r="K561" s="1278">
        <f t="shared" si="16"/>
        <v>7.9798113532122591E-6</v>
      </c>
      <c r="L561" s="1278">
        <f t="shared" si="17"/>
        <v>0.99826940002574505</v>
      </c>
      <c r="M561" s="1279" t="s">
        <v>2319</v>
      </c>
    </row>
    <row r="562" spans="1:15" ht="26.45" customHeight="1">
      <c r="A562" s="1271">
        <v>11766</v>
      </c>
      <c r="B562" s="1272" t="s">
        <v>67</v>
      </c>
      <c r="C562" s="1272" t="s">
        <v>806</v>
      </c>
      <c r="D562" s="1274" t="s">
        <v>807</v>
      </c>
      <c r="E562" s="1271" t="s">
        <v>55</v>
      </c>
      <c r="F562" s="1293">
        <v>4</v>
      </c>
      <c r="G562" s="1283">
        <v>12.16</v>
      </c>
      <c r="H562" s="1277">
        <v>15.2</v>
      </c>
      <c r="I562" s="1277">
        <v>48.64</v>
      </c>
      <c r="J562" s="1277">
        <v>60.8</v>
      </c>
      <c r="K562" s="1278">
        <f t="shared" si="16"/>
        <v>7.9765315293926075E-6</v>
      </c>
      <c r="L562" s="1278">
        <f t="shared" si="17"/>
        <v>0.99827737655727444</v>
      </c>
      <c r="M562" s="1279" t="s">
        <v>2319</v>
      </c>
    </row>
    <row r="563" spans="1:15" ht="28.5">
      <c r="A563" s="1271">
        <v>93655</v>
      </c>
      <c r="B563" s="1272" t="s">
        <v>26</v>
      </c>
      <c r="C563" s="1272" t="s">
        <v>876</v>
      </c>
      <c r="D563" s="1274" t="s">
        <v>877</v>
      </c>
      <c r="E563" s="1271" t="s">
        <v>55</v>
      </c>
      <c r="F563" s="1293">
        <v>3</v>
      </c>
      <c r="G563" s="1283">
        <v>15.57</v>
      </c>
      <c r="H563" s="1277">
        <v>19.462499999999999</v>
      </c>
      <c r="I563" s="1277">
        <v>46.71</v>
      </c>
      <c r="J563" s="1277">
        <v>58.387499999999996</v>
      </c>
      <c r="K563" s="1278">
        <f t="shared" si="16"/>
        <v>7.6600285307962316E-6</v>
      </c>
      <c r="L563" s="1278">
        <f t="shared" si="17"/>
        <v>0.99828503658580525</v>
      </c>
      <c r="M563" s="1279" t="s">
        <v>2319</v>
      </c>
    </row>
    <row r="564" spans="1:15" ht="27" customHeight="1">
      <c r="A564" s="1285">
        <v>89546</v>
      </c>
      <c r="B564" s="1286" t="s">
        <v>26</v>
      </c>
      <c r="C564" s="1272" t="s">
        <v>575</v>
      </c>
      <c r="D564" s="1294" t="s">
        <v>576</v>
      </c>
      <c r="E564" s="1271" t="s">
        <v>96</v>
      </c>
      <c r="F564" s="1275">
        <v>4</v>
      </c>
      <c r="G564" s="1283">
        <v>11.27</v>
      </c>
      <c r="H564" s="1277">
        <v>14.087499999999999</v>
      </c>
      <c r="I564" s="1277">
        <v>45.08</v>
      </c>
      <c r="J564" s="1277">
        <v>56.349999999999994</v>
      </c>
      <c r="K564" s="1278">
        <f t="shared" si="16"/>
        <v>7.392722889494629E-6</v>
      </c>
      <c r="L564" s="1278">
        <f t="shared" si="17"/>
        <v>0.99829242930869477</v>
      </c>
      <c r="M564" s="1279" t="s">
        <v>2319</v>
      </c>
    </row>
    <row r="565" spans="1:15" ht="28.5">
      <c r="A565" s="1271">
        <v>93654</v>
      </c>
      <c r="B565" s="1272" t="s">
        <v>26</v>
      </c>
      <c r="C565" s="1271" t="s">
        <v>1049</v>
      </c>
      <c r="D565" s="1274" t="s">
        <v>940</v>
      </c>
      <c r="E565" s="1271" t="s">
        <v>55</v>
      </c>
      <c r="F565" s="1293">
        <v>3</v>
      </c>
      <c r="G565" s="1283">
        <v>14.35</v>
      </c>
      <c r="H565" s="1277">
        <v>17.9375</v>
      </c>
      <c r="I565" s="1277">
        <v>43.05</v>
      </c>
      <c r="J565" s="1277">
        <v>53.8125</v>
      </c>
      <c r="K565" s="1278">
        <f t="shared" si="16"/>
        <v>7.0598207717999962E-6</v>
      </c>
      <c r="L565" s="1278">
        <f t="shared" si="17"/>
        <v>0.99829948912946653</v>
      </c>
      <c r="M565" s="1279" t="s">
        <v>2319</v>
      </c>
    </row>
    <row r="566" spans="1:15">
      <c r="A566" s="1271" t="s">
        <v>898</v>
      </c>
      <c r="B566" s="1272" t="s">
        <v>67</v>
      </c>
      <c r="C566" s="1272" t="s">
        <v>899</v>
      </c>
      <c r="D566" s="1274" t="s">
        <v>900</v>
      </c>
      <c r="E566" s="1271" t="s">
        <v>55</v>
      </c>
      <c r="F566" s="1293">
        <v>10</v>
      </c>
      <c r="G566" s="1283">
        <v>4.0999999999999996</v>
      </c>
      <c r="H566" s="1277">
        <v>5.125</v>
      </c>
      <c r="I566" s="1277">
        <v>41</v>
      </c>
      <c r="J566" s="1277">
        <v>51.25</v>
      </c>
      <c r="K566" s="1278">
        <f t="shared" si="16"/>
        <v>6.7236388302857101E-6</v>
      </c>
      <c r="L566" s="1278">
        <f t="shared" si="17"/>
        <v>0.99830621276829679</v>
      </c>
      <c r="M566" s="1279" t="s">
        <v>2319</v>
      </c>
    </row>
    <row r="567" spans="1:15" ht="28.5">
      <c r="A567" s="1295">
        <v>9925</v>
      </c>
      <c r="B567" s="1272" t="s">
        <v>67</v>
      </c>
      <c r="C567" s="1272" t="s">
        <v>1131</v>
      </c>
      <c r="D567" s="1274" t="s">
        <v>1130</v>
      </c>
      <c r="E567" s="1271" t="s">
        <v>55</v>
      </c>
      <c r="F567" s="1293">
        <v>20</v>
      </c>
      <c r="G567" s="1283">
        <v>1.97</v>
      </c>
      <c r="H567" s="1277">
        <v>2.4624999999999999</v>
      </c>
      <c r="I567" s="1277">
        <v>39.4</v>
      </c>
      <c r="J567" s="1277">
        <v>49.25</v>
      </c>
      <c r="K567" s="1278">
        <f t="shared" si="16"/>
        <v>6.4612529247135848E-6</v>
      </c>
      <c r="L567" s="1278">
        <f t="shared" si="17"/>
        <v>0.99831267402122148</v>
      </c>
      <c r="M567" s="1279" t="s">
        <v>2319</v>
      </c>
    </row>
    <row r="568" spans="1:15" ht="22.9" customHeight="1">
      <c r="A568" s="1271">
        <v>89383</v>
      </c>
      <c r="B568" s="1272" t="s">
        <v>26</v>
      </c>
      <c r="C568" s="1272" t="s">
        <v>445</v>
      </c>
      <c r="D568" s="1274" t="s">
        <v>446</v>
      </c>
      <c r="E568" s="1271" t="s">
        <v>55</v>
      </c>
      <c r="F568" s="1275">
        <v>6</v>
      </c>
      <c r="G568" s="1283">
        <v>6.08</v>
      </c>
      <c r="H568" s="1277">
        <v>7.6</v>
      </c>
      <c r="I568" s="1277">
        <v>36.480000000000004</v>
      </c>
      <c r="J568" s="1277">
        <v>45.599999999999994</v>
      </c>
      <c r="K568" s="1278">
        <f t="shared" si="16"/>
        <v>5.9823986470444561E-6</v>
      </c>
      <c r="L568" s="1278">
        <f t="shared" si="17"/>
        <v>0.9983186564198685</v>
      </c>
      <c r="M568" s="1279" t="s">
        <v>2319</v>
      </c>
    </row>
    <row r="569" spans="1:15" ht="25.9" customHeight="1">
      <c r="A569" s="1271">
        <v>89395</v>
      </c>
      <c r="B569" s="1272" t="s">
        <v>26</v>
      </c>
      <c r="C569" s="1272" t="s">
        <v>503</v>
      </c>
      <c r="D569" s="1294" t="s">
        <v>504</v>
      </c>
      <c r="E569" s="1271" t="s">
        <v>55</v>
      </c>
      <c r="F569" s="1275">
        <v>3</v>
      </c>
      <c r="G569" s="1283">
        <v>11.93</v>
      </c>
      <c r="H569" s="1277">
        <v>14.9125</v>
      </c>
      <c r="I569" s="1277">
        <v>35.79</v>
      </c>
      <c r="J569" s="1277">
        <v>44.737499999999997</v>
      </c>
      <c r="K569" s="1278">
        <f t="shared" si="16"/>
        <v>5.8692447252664774E-6</v>
      </c>
      <c r="L569" s="1278">
        <f t="shared" si="17"/>
        <v>0.99832452566459373</v>
      </c>
      <c r="M569" s="1279" t="s">
        <v>2319</v>
      </c>
    </row>
    <row r="570" spans="1:15">
      <c r="A570" s="1271">
        <v>4190</v>
      </c>
      <c r="B570" s="1272" t="s">
        <v>67</v>
      </c>
      <c r="C570" s="1272" t="s">
        <v>690</v>
      </c>
      <c r="D570" s="1280" t="s">
        <v>691</v>
      </c>
      <c r="E570" s="1281" t="s">
        <v>55</v>
      </c>
      <c r="F570" s="1282">
        <v>10</v>
      </c>
      <c r="G570" s="1283">
        <v>3.5</v>
      </c>
      <c r="H570" s="1277">
        <v>4.375</v>
      </c>
      <c r="I570" s="1277">
        <v>35</v>
      </c>
      <c r="J570" s="1277">
        <v>43.75</v>
      </c>
      <c r="K570" s="1278">
        <f t="shared" si="16"/>
        <v>5.739691684390241E-6</v>
      </c>
      <c r="L570" s="1278">
        <f t="shared" si="17"/>
        <v>0.99833026535627811</v>
      </c>
      <c r="M570" s="1279" t="s">
        <v>2319</v>
      </c>
    </row>
    <row r="571" spans="1:15" ht="39" customHeight="1">
      <c r="A571" s="1271">
        <v>373</v>
      </c>
      <c r="B571" s="1272" t="s">
        <v>67</v>
      </c>
      <c r="C571" s="1272" t="s">
        <v>1208</v>
      </c>
      <c r="D571" s="1274" t="s">
        <v>1209</v>
      </c>
      <c r="E571" s="1271" t="s">
        <v>55</v>
      </c>
      <c r="F571" s="1293">
        <v>7</v>
      </c>
      <c r="G571" s="1283">
        <v>4.8099999999999996</v>
      </c>
      <c r="H571" s="1277">
        <v>6.0124999999999993</v>
      </c>
      <c r="I571" s="1277">
        <v>33.669999999999995</v>
      </c>
      <c r="J571" s="1277">
        <v>42.087499999999991</v>
      </c>
      <c r="K571" s="1278">
        <f t="shared" si="16"/>
        <v>5.52158340038341E-6</v>
      </c>
      <c r="L571" s="1278">
        <f t="shared" si="17"/>
        <v>0.9983357869396785</v>
      </c>
      <c r="M571" s="1279" t="s">
        <v>2319</v>
      </c>
    </row>
    <row r="572" spans="1:15" ht="52.5" customHeight="1">
      <c r="A572" s="1271" t="s">
        <v>821</v>
      </c>
      <c r="B572" s="1272" t="s">
        <v>67</v>
      </c>
      <c r="C572" s="1272" t="s">
        <v>822</v>
      </c>
      <c r="D572" s="1274" t="s">
        <v>823</v>
      </c>
      <c r="E572" s="1271" t="s">
        <v>55</v>
      </c>
      <c r="F572" s="1293">
        <v>4</v>
      </c>
      <c r="G572" s="1283">
        <v>7.83</v>
      </c>
      <c r="H572" s="1277">
        <v>9.7874999999999996</v>
      </c>
      <c r="I572" s="1277">
        <v>31.32</v>
      </c>
      <c r="J572" s="1277">
        <v>39.15</v>
      </c>
      <c r="K572" s="1278">
        <f t="shared" si="16"/>
        <v>5.1362041015743523E-6</v>
      </c>
      <c r="L572" s="1278">
        <f t="shared" si="17"/>
        <v>0.99834092314378009</v>
      </c>
      <c r="M572" s="1279" t="s">
        <v>2319</v>
      </c>
    </row>
    <row r="573" spans="1:15" ht="42" customHeight="1">
      <c r="A573" s="1271" t="s">
        <v>771</v>
      </c>
      <c r="B573" s="1272" t="s">
        <v>67</v>
      </c>
      <c r="C573" s="1272" t="s">
        <v>772</v>
      </c>
      <c r="D573" s="1274" t="s">
        <v>773</v>
      </c>
      <c r="E573" s="1271" t="s">
        <v>55</v>
      </c>
      <c r="F573" s="1293">
        <v>1</v>
      </c>
      <c r="G573" s="1283">
        <v>30.97</v>
      </c>
      <c r="H573" s="1277">
        <v>38.712499999999999</v>
      </c>
      <c r="I573" s="1277">
        <v>30.97</v>
      </c>
      <c r="J573" s="1277">
        <v>38.712499999999999</v>
      </c>
      <c r="K573" s="1278">
        <f t="shared" si="16"/>
        <v>5.0788071847304501E-6</v>
      </c>
      <c r="L573" s="1278">
        <f t="shared" si="17"/>
        <v>0.99834600195096479</v>
      </c>
      <c r="M573" s="1279" t="s">
        <v>2319</v>
      </c>
    </row>
    <row r="574" spans="1:15" s="1206" customFormat="1" ht="49.5" customHeight="1">
      <c r="A574" s="1271">
        <v>7926</v>
      </c>
      <c r="B574" s="1272" t="s">
        <v>67</v>
      </c>
      <c r="C574" s="1272" t="s">
        <v>868</v>
      </c>
      <c r="D574" s="1274" t="s">
        <v>869</v>
      </c>
      <c r="E574" s="1271" t="s">
        <v>55</v>
      </c>
      <c r="F574" s="1293">
        <v>12</v>
      </c>
      <c r="G574" s="1283">
        <v>2.56</v>
      </c>
      <c r="H574" s="1277">
        <v>3.2</v>
      </c>
      <c r="I574" s="1277">
        <v>30.72</v>
      </c>
      <c r="J574" s="1277">
        <v>38.400000000000006</v>
      </c>
      <c r="K574" s="1278">
        <f t="shared" si="16"/>
        <v>5.0378093869848065E-6</v>
      </c>
      <c r="L574" s="1278">
        <f t="shared" si="17"/>
        <v>0.99835103976035178</v>
      </c>
      <c r="M574" s="1279" t="s">
        <v>2319</v>
      </c>
      <c r="N574" s="1189"/>
      <c r="O574" s="1189"/>
    </row>
    <row r="575" spans="1:15" s="1206" customFormat="1" ht="25.9" customHeight="1">
      <c r="A575" s="1271">
        <v>11133</v>
      </c>
      <c r="B575" s="1272" t="s">
        <v>67</v>
      </c>
      <c r="C575" s="1272" t="s">
        <v>967</v>
      </c>
      <c r="D575" s="1274" t="s">
        <v>968</v>
      </c>
      <c r="E575" s="1271" t="s">
        <v>55</v>
      </c>
      <c r="F575" s="1293">
        <v>1</v>
      </c>
      <c r="G575" s="1283">
        <v>28.95</v>
      </c>
      <c r="H575" s="1277">
        <v>36.1875</v>
      </c>
      <c r="I575" s="1277">
        <v>28.95</v>
      </c>
      <c r="J575" s="1277">
        <v>36.1875</v>
      </c>
      <c r="K575" s="1278">
        <f t="shared" si="16"/>
        <v>4.7475449789456422E-6</v>
      </c>
      <c r="L575" s="1278">
        <f t="shared" si="17"/>
        <v>0.9983557873053307</v>
      </c>
      <c r="M575" s="1279" t="s">
        <v>2319</v>
      </c>
      <c r="N575" s="1189"/>
      <c r="O575" s="1189"/>
    </row>
    <row r="576" spans="1:15" s="1206" customFormat="1">
      <c r="A576" s="1271" t="s">
        <v>824</v>
      </c>
      <c r="B576" s="1272" t="s">
        <v>67</v>
      </c>
      <c r="C576" s="1272" t="s">
        <v>825</v>
      </c>
      <c r="D576" s="1274" t="s">
        <v>826</v>
      </c>
      <c r="E576" s="1271" t="s">
        <v>55</v>
      </c>
      <c r="F576" s="1293">
        <v>2</v>
      </c>
      <c r="G576" s="1283">
        <v>14.34</v>
      </c>
      <c r="H576" s="1277">
        <v>17.925000000000001</v>
      </c>
      <c r="I576" s="1277">
        <v>28.68</v>
      </c>
      <c r="J576" s="1277">
        <v>35.85</v>
      </c>
      <c r="K576" s="1278">
        <f t="shared" si="16"/>
        <v>4.7032673573803462E-6</v>
      </c>
      <c r="L576" s="1278">
        <f t="shared" si="17"/>
        <v>0.99836049057268805</v>
      </c>
      <c r="M576" s="1279" t="s">
        <v>2319</v>
      </c>
      <c r="N576" s="1189"/>
      <c r="O576" s="1189"/>
    </row>
    <row r="577" spans="1:15" s="1206" customFormat="1" ht="42.75">
      <c r="A577" s="1271">
        <v>2304</v>
      </c>
      <c r="B577" s="1272" t="s">
        <v>67</v>
      </c>
      <c r="C577" s="1302" t="s">
        <v>422</v>
      </c>
      <c r="D577" s="1280" t="s">
        <v>2725</v>
      </c>
      <c r="E577" s="1281" t="s">
        <v>61</v>
      </c>
      <c r="F577" s="1282">
        <v>3.695780000000001</v>
      </c>
      <c r="G577" s="1276">
        <v>7.6</v>
      </c>
      <c r="H577" s="1277">
        <v>9.5</v>
      </c>
      <c r="I577" s="1277">
        <v>28.087928000000005</v>
      </c>
      <c r="J577" s="1277">
        <v>35.109910000000006</v>
      </c>
      <c r="K577" s="1278">
        <f t="shared" si="16"/>
        <v>4.6061727649529095E-6</v>
      </c>
      <c r="L577" s="1278">
        <f t="shared" si="17"/>
        <v>0.99836509674545304</v>
      </c>
      <c r="M577" s="1279" t="s">
        <v>2319</v>
      </c>
      <c r="N577" s="1189"/>
      <c r="O577" s="1189"/>
    </row>
    <row r="578" spans="1:15" s="1206" customFormat="1" ht="42.75">
      <c r="A578" s="1271">
        <v>91907</v>
      </c>
      <c r="B578" s="1272" t="s">
        <v>26</v>
      </c>
      <c r="C578" s="1271" t="s">
        <v>1037</v>
      </c>
      <c r="D578" s="1274" t="s">
        <v>1038</v>
      </c>
      <c r="E578" s="1271" t="s">
        <v>55</v>
      </c>
      <c r="F578" s="1293">
        <v>2</v>
      </c>
      <c r="G578" s="1283">
        <v>13.82</v>
      </c>
      <c r="H578" s="1277">
        <v>17.274999999999999</v>
      </c>
      <c r="I578" s="1277">
        <v>27.64</v>
      </c>
      <c r="J578" s="1277">
        <v>34.549999999999997</v>
      </c>
      <c r="K578" s="1278">
        <f t="shared" ref="K578:K610" si="18">J578/$N$1</f>
        <v>4.5327165187584636E-6</v>
      </c>
      <c r="L578" s="1278">
        <f t="shared" si="17"/>
        <v>0.99836962946197183</v>
      </c>
      <c r="M578" s="1279" t="s">
        <v>2319</v>
      </c>
      <c r="N578" s="1189"/>
      <c r="O578" s="1189"/>
    </row>
    <row r="579" spans="1:15" ht="35.25" customHeight="1">
      <c r="A579" s="1285">
        <v>89785</v>
      </c>
      <c r="B579" s="1286" t="s">
        <v>26</v>
      </c>
      <c r="C579" s="1272" t="s">
        <v>566</v>
      </c>
      <c r="D579" s="1294" t="s">
        <v>567</v>
      </c>
      <c r="E579" s="1271" t="s">
        <v>96</v>
      </c>
      <c r="F579" s="1275">
        <v>1</v>
      </c>
      <c r="G579" s="1283">
        <v>26.73</v>
      </c>
      <c r="H579" s="1277">
        <v>33.412500000000001</v>
      </c>
      <c r="I579" s="1277">
        <v>26.73</v>
      </c>
      <c r="J579" s="1277">
        <v>33.412500000000001</v>
      </c>
      <c r="K579" s="1278">
        <f t="shared" si="18"/>
        <v>4.3834845349643178E-6</v>
      </c>
      <c r="L579" s="1278">
        <f t="shared" si="17"/>
        <v>0.99837401294650674</v>
      </c>
      <c r="M579" s="1279" t="s">
        <v>2319</v>
      </c>
    </row>
    <row r="580" spans="1:15" ht="33" customHeight="1">
      <c r="A580" s="1271" t="s">
        <v>901</v>
      </c>
      <c r="B580" s="1272" t="s">
        <v>26</v>
      </c>
      <c r="C580" s="1272" t="s">
        <v>902</v>
      </c>
      <c r="D580" s="1274" t="s">
        <v>903</v>
      </c>
      <c r="E580" s="1271" t="s">
        <v>55</v>
      </c>
      <c r="F580" s="1293">
        <v>10</v>
      </c>
      <c r="G580" s="1283">
        <v>2.67</v>
      </c>
      <c r="H580" s="1277">
        <v>3.3374999999999999</v>
      </c>
      <c r="I580" s="1277">
        <v>26.7</v>
      </c>
      <c r="J580" s="1277">
        <v>33.375</v>
      </c>
      <c r="K580" s="1278">
        <f t="shared" si="18"/>
        <v>4.3785647992348405E-6</v>
      </c>
      <c r="L580" s="1278">
        <f t="shared" ref="L580:L610" si="19">K580+L579</f>
        <v>0.99837839151130603</v>
      </c>
      <c r="M580" s="1279" t="s">
        <v>2319</v>
      </c>
    </row>
    <row r="581" spans="1:15" ht="31.9" customHeight="1">
      <c r="A581" s="1271">
        <v>711</v>
      </c>
      <c r="B581" s="1272" t="s">
        <v>67</v>
      </c>
      <c r="C581" s="1271" t="s">
        <v>934</v>
      </c>
      <c r="D581" s="1274" t="s">
        <v>935</v>
      </c>
      <c r="E581" s="1271" t="s">
        <v>55</v>
      </c>
      <c r="F581" s="1293">
        <v>4</v>
      </c>
      <c r="G581" s="1283">
        <v>6.6</v>
      </c>
      <c r="H581" s="1277">
        <v>8.25</v>
      </c>
      <c r="I581" s="1277">
        <v>26.4</v>
      </c>
      <c r="J581" s="1277">
        <v>33</v>
      </c>
      <c r="K581" s="1278">
        <f t="shared" si="18"/>
        <v>4.3293674419400672E-6</v>
      </c>
      <c r="L581" s="1278">
        <f t="shared" si="19"/>
        <v>0.99838272087874802</v>
      </c>
      <c r="M581" s="1279" t="s">
        <v>2319</v>
      </c>
    </row>
    <row r="582" spans="1:15" s="1206" customFormat="1" ht="28.5">
      <c r="A582" s="1271">
        <v>4000</v>
      </c>
      <c r="B582" s="1272" t="s">
        <v>67</v>
      </c>
      <c r="C582" s="1272" t="s">
        <v>1169</v>
      </c>
      <c r="D582" s="1274" t="s">
        <v>799</v>
      </c>
      <c r="E582" s="1271" t="s">
        <v>55</v>
      </c>
      <c r="F582" s="1293">
        <v>20</v>
      </c>
      <c r="G582" s="1283">
        <v>1.25</v>
      </c>
      <c r="H582" s="1277">
        <v>1.5625</v>
      </c>
      <c r="I582" s="1277">
        <v>25</v>
      </c>
      <c r="J582" s="1277">
        <v>31.25</v>
      </c>
      <c r="K582" s="1278">
        <f t="shared" si="18"/>
        <v>4.0997797745644575E-6</v>
      </c>
      <c r="L582" s="1278">
        <f t="shared" si="19"/>
        <v>0.99838682065852258</v>
      </c>
      <c r="M582" s="1279" t="s">
        <v>2319</v>
      </c>
      <c r="N582" s="1189"/>
      <c r="O582" s="1189"/>
    </row>
    <row r="583" spans="1:15" ht="28.5">
      <c r="A583" s="1271" t="s">
        <v>810</v>
      </c>
      <c r="B583" s="1272" t="s">
        <v>26</v>
      </c>
      <c r="C583" s="1272" t="s">
        <v>811</v>
      </c>
      <c r="D583" s="1274" t="s">
        <v>812</v>
      </c>
      <c r="E583" s="1271" t="s">
        <v>55</v>
      </c>
      <c r="F583" s="1293">
        <v>2</v>
      </c>
      <c r="G583" s="1283">
        <v>11.26</v>
      </c>
      <c r="H583" s="1277">
        <v>14.074999999999999</v>
      </c>
      <c r="I583" s="1277">
        <v>22.52</v>
      </c>
      <c r="J583" s="1277">
        <v>28.15</v>
      </c>
      <c r="K583" s="1278">
        <f t="shared" si="18"/>
        <v>3.6930816209276634E-6</v>
      </c>
      <c r="L583" s="1278">
        <f t="shared" si="19"/>
        <v>0.99839051374014354</v>
      </c>
      <c r="M583" s="1279" t="s">
        <v>2319</v>
      </c>
    </row>
    <row r="584" spans="1:15">
      <c r="A584" s="1271">
        <v>8998</v>
      </c>
      <c r="B584" s="1272" t="s">
        <v>67</v>
      </c>
      <c r="C584" s="1271" t="s">
        <v>936</v>
      </c>
      <c r="D584" s="1274" t="s">
        <v>937</v>
      </c>
      <c r="E584" s="1271" t="s">
        <v>55</v>
      </c>
      <c r="F584" s="1293">
        <v>6</v>
      </c>
      <c r="G584" s="1283">
        <v>3.59</v>
      </c>
      <c r="H584" s="1277">
        <v>4.4874999999999998</v>
      </c>
      <c r="I584" s="1277">
        <v>21.54</v>
      </c>
      <c r="J584" s="1277">
        <v>26.924999999999997</v>
      </c>
      <c r="K584" s="1278">
        <f t="shared" si="18"/>
        <v>3.5323702537647363E-6</v>
      </c>
      <c r="L584" s="1278">
        <f t="shared" si="19"/>
        <v>0.99839404611039728</v>
      </c>
      <c r="M584" s="1279" t="s">
        <v>2319</v>
      </c>
    </row>
    <row r="585" spans="1:15" s="1206" customFormat="1" ht="25.15" customHeight="1">
      <c r="A585" s="1271">
        <v>373</v>
      </c>
      <c r="B585" s="1272" t="s">
        <v>67</v>
      </c>
      <c r="C585" s="1272" t="s">
        <v>1129</v>
      </c>
      <c r="D585" s="1274" t="s">
        <v>1128</v>
      </c>
      <c r="E585" s="1271" t="s">
        <v>55</v>
      </c>
      <c r="F585" s="1293">
        <v>4</v>
      </c>
      <c r="G585" s="1283">
        <v>4.8099999999999996</v>
      </c>
      <c r="H585" s="1277">
        <v>6.0124999999999993</v>
      </c>
      <c r="I585" s="1277">
        <v>19.239999999999998</v>
      </c>
      <c r="J585" s="1277">
        <v>24.049999999999997</v>
      </c>
      <c r="K585" s="1278">
        <f t="shared" si="18"/>
        <v>3.1551905145048062E-6</v>
      </c>
      <c r="L585" s="1278">
        <f t="shared" si="19"/>
        <v>0.99839720130091181</v>
      </c>
      <c r="M585" s="1279" t="s">
        <v>2319</v>
      </c>
      <c r="N585" s="1189"/>
      <c r="O585" s="1189"/>
    </row>
    <row r="586" spans="1:15" ht="28.5">
      <c r="A586" s="1285">
        <v>103042</v>
      </c>
      <c r="B586" s="1286" t="s">
        <v>26</v>
      </c>
      <c r="C586" s="1272" t="s">
        <v>542</v>
      </c>
      <c r="D586" s="1294" t="s">
        <v>543</v>
      </c>
      <c r="E586" s="1271" t="s">
        <v>96</v>
      </c>
      <c r="F586" s="1275">
        <v>1</v>
      </c>
      <c r="G586" s="1283">
        <v>18.350000000000001</v>
      </c>
      <c r="H586" s="1277">
        <v>22.9375</v>
      </c>
      <c r="I586" s="1277">
        <v>18.350000000000001</v>
      </c>
      <c r="J586" s="1277">
        <v>22.9375</v>
      </c>
      <c r="K586" s="1278">
        <f t="shared" si="18"/>
        <v>3.009238354530312E-6</v>
      </c>
      <c r="L586" s="1278">
        <f t="shared" si="19"/>
        <v>0.99840021053926631</v>
      </c>
      <c r="M586" s="1279" t="s">
        <v>2319</v>
      </c>
    </row>
    <row r="587" spans="1:15">
      <c r="A587" s="1271">
        <v>2953</v>
      </c>
      <c r="B587" s="1272" t="s">
        <v>67</v>
      </c>
      <c r="C587" s="1272" t="s">
        <v>766</v>
      </c>
      <c r="D587" s="1274" t="s">
        <v>767</v>
      </c>
      <c r="E587" s="1271" t="s">
        <v>55</v>
      </c>
      <c r="F587" s="1293">
        <v>6</v>
      </c>
      <c r="G587" s="1283">
        <v>2.95</v>
      </c>
      <c r="H587" s="1277">
        <v>3.6875</v>
      </c>
      <c r="I587" s="1277">
        <v>17.700000000000003</v>
      </c>
      <c r="J587" s="1277">
        <v>22.125</v>
      </c>
      <c r="K587" s="1278">
        <f t="shared" si="18"/>
        <v>2.902644080391636E-6</v>
      </c>
      <c r="L587" s="1278">
        <f t="shared" si="19"/>
        <v>0.99840311318334674</v>
      </c>
      <c r="M587" s="1279" t="s">
        <v>2319</v>
      </c>
    </row>
    <row r="588" spans="1:15" s="1206" customFormat="1" ht="24.75" customHeight="1">
      <c r="A588" s="1271">
        <v>7928</v>
      </c>
      <c r="B588" s="1272" t="s">
        <v>67</v>
      </c>
      <c r="C588" s="1272" t="s">
        <v>872</v>
      </c>
      <c r="D588" s="1274" t="s">
        <v>873</v>
      </c>
      <c r="E588" s="1271" t="s">
        <v>55</v>
      </c>
      <c r="F588" s="1293">
        <v>4</v>
      </c>
      <c r="G588" s="1283">
        <v>4.3499999999999996</v>
      </c>
      <c r="H588" s="1277">
        <v>5.4375</v>
      </c>
      <c r="I588" s="1277">
        <v>17.399999999999999</v>
      </c>
      <c r="J588" s="1277">
        <v>21.75</v>
      </c>
      <c r="K588" s="1278">
        <f t="shared" si="18"/>
        <v>2.8534467230968623E-6</v>
      </c>
      <c r="L588" s="1278">
        <f t="shared" si="19"/>
        <v>0.99840596663006986</v>
      </c>
      <c r="M588" s="1279" t="s">
        <v>2319</v>
      </c>
      <c r="N588" s="1189"/>
      <c r="O588" s="1189"/>
    </row>
    <row r="589" spans="1:15" s="1206" customFormat="1" ht="25.9" customHeight="1">
      <c r="A589" s="1271">
        <v>7927</v>
      </c>
      <c r="B589" s="1272" t="s">
        <v>67</v>
      </c>
      <c r="C589" s="1272" t="s">
        <v>870</v>
      </c>
      <c r="D589" s="1274" t="s">
        <v>871</v>
      </c>
      <c r="E589" s="1271" t="s">
        <v>55</v>
      </c>
      <c r="F589" s="1293">
        <v>6</v>
      </c>
      <c r="G589" s="1283">
        <v>2.88</v>
      </c>
      <c r="H589" s="1277">
        <v>3.5999999999999996</v>
      </c>
      <c r="I589" s="1277">
        <v>17.28</v>
      </c>
      <c r="J589" s="1277">
        <v>21.599999999999998</v>
      </c>
      <c r="K589" s="1278">
        <f t="shared" si="18"/>
        <v>2.833767780178953E-6</v>
      </c>
      <c r="L589" s="1278">
        <f t="shared" si="19"/>
        <v>0.99840880039785007</v>
      </c>
      <c r="M589" s="1279" t="s">
        <v>2319</v>
      </c>
      <c r="N589" s="1189"/>
      <c r="O589" s="1189"/>
    </row>
    <row r="590" spans="1:15" s="1206" customFormat="1" ht="22.15" customHeight="1">
      <c r="A590" s="1271">
        <v>363</v>
      </c>
      <c r="B590" s="1272" t="s">
        <v>67</v>
      </c>
      <c r="C590" s="1272" t="s">
        <v>1201</v>
      </c>
      <c r="D590" s="1274" t="s">
        <v>907</v>
      </c>
      <c r="E590" s="1271" t="s">
        <v>55</v>
      </c>
      <c r="F590" s="1293">
        <v>2</v>
      </c>
      <c r="G590" s="1283">
        <v>8.41</v>
      </c>
      <c r="H590" s="1277">
        <v>10.512499999999999</v>
      </c>
      <c r="I590" s="1277">
        <v>16.82</v>
      </c>
      <c r="J590" s="1277">
        <v>21.024999999999999</v>
      </c>
      <c r="K590" s="1278">
        <f t="shared" si="18"/>
        <v>2.7583318323269668E-6</v>
      </c>
      <c r="L590" s="1278">
        <f t="shared" si="19"/>
        <v>0.99841155872968235</v>
      </c>
      <c r="M590" s="1279" t="s">
        <v>2319</v>
      </c>
      <c r="N590" s="1189"/>
      <c r="O590" s="1189"/>
    </row>
    <row r="591" spans="1:15" ht="26.25" customHeight="1">
      <c r="A591" s="1271" t="s">
        <v>1214</v>
      </c>
      <c r="B591" s="1272" t="s">
        <v>26</v>
      </c>
      <c r="C591" s="1272" t="s">
        <v>1215</v>
      </c>
      <c r="D591" s="1274" t="s">
        <v>1216</v>
      </c>
      <c r="E591" s="1271" t="s">
        <v>55</v>
      </c>
      <c r="F591" s="1293">
        <v>21</v>
      </c>
      <c r="G591" s="1283">
        <v>0.78</v>
      </c>
      <c r="H591" s="1277">
        <v>0.97500000000000009</v>
      </c>
      <c r="I591" s="1277">
        <v>16.38</v>
      </c>
      <c r="J591" s="1277">
        <v>20.475000000000001</v>
      </c>
      <c r="K591" s="1278">
        <f t="shared" si="18"/>
        <v>2.686175708294633E-6</v>
      </c>
      <c r="L591" s="1278">
        <f t="shared" si="19"/>
        <v>0.99841424490539066</v>
      </c>
      <c r="M591" s="1279" t="s">
        <v>2319</v>
      </c>
    </row>
    <row r="592" spans="1:15" ht="20.45" customHeight="1">
      <c r="A592" s="1295">
        <v>344</v>
      </c>
      <c r="B592" s="1272" t="s">
        <v>67</v>
      </c>
      <c r="C592" s="1272" t="s">
        <v>1123</v>
      </c>
      <c r="D592" s="1274" t="s">
        <v>1122</v>
      </c>
      <c r="E592" s="1271" t="s">
        <v>55</v>
      </c>
      <c r="F592" s="1293">
        <v>10</v>
      </c>
      <c r="G592" s="1283">
        <v>1.63</v>
      </c>
      <c r="H592" s="1277">
        <v>2.0374999999999996</v>
      </c>
      <c r="I592" s="1277">
        <v>16.299999999999997</v>
      </c>
      <c r="J592" s="1277">
        <v>20.374999999999996</v>
      </c>
      <c r="K592" s="1278">
        <f t="shared" si="18"/>
        <v>2.6730564130160259E-6</v>
      </c>
      <c r="L592" s="1278">
        <f t="shared" si="19"/>
        <v>0.99841691796180365</v>
      </c>
      <c r="M592" s="1279" t="s">
        <v>2319</v>
      </c>
    </row>
    <row r="593" spans="1:13" ht="29.25" customHeight="1">
      <c r="A593" s="1271">
        <v>11765</v>
      </c>
      <c r="B593" s="1272" t="s">
        <v>67</v>
      </c>
      <c r="C593" s="1272" t="s">
        <v>808</v>
      </c>
      <c r="D593" s="1274" t="s">
        <v>809</v>
      </c>
      <c r="E593" s="1271" t="s">
        <v>55</v>
      </c>
      <c r="F593" s="1293">
        <v>2</v>
      </c>
      <c r="G593" s="1283">
        <v>7.89</v>
      </c>
      <c r="H593" s="1277">
        <v>9.8624999999999989</v>
      </c>
      <c r="I593" s="1277">
        <v>15.78</v>
      </c>
      <c r="J593" s="1277">
        <v>19.724999999999998</v>
      </c>
      <c r="K593" s="1278">
        <f t="shared" si="18"/>
        <v>2.5877809937050855E-6</v>
      </c>
      <c r="L593" s="1278">
        <f t="shared" si="19"/>
        <v>0.99841950574279736</v>
      </c>
      <c r="M593" s="1279" t="s">
        <v>2319</v>
      </c>
    </row>
    <row r="594" spans="1:13" ht="28.5">
      <c r="A594" s="1271">
        <v>93658</v>
      </c>
      <c r="B594" s="1272" t="s">
        <v>26</v>
      </c>
      <c r="C594" s="1272" t="s">
        <v>884</v>
      </c>
      <c r="D594" s="1274" t="s">
        <v>885</v>
      </c>
      <c r="E594" s="1271" t="s">
        <v>55</v>
      </c>
      <c r="F594" s="1293">
        <v>1</v>
      </c>
      <c r="G594" s="1283">
        <v>15.57</v>
      </c>
      <c r="H594" s="1277">
        <v>19.462499999999999</v>
      </c>
      <c r="I594" s="1277">
        <v>15.57</v>
      </c>
      <c r="J594" s="1277">
        <v>19.462499999999999</v>
      </c>
      <c r="K594" s="1278">
        <f t="shared" si="18"/>
        <v>2.5533428435987441E-6</v>
      </c>
      <c r="L594" s="1278">
        <f t="shared" si="19"/>
        <v>0.99842205908564097</v>
      </c>
      <c r="M594" s="1279" t="s">
        <v>2319</v>
      </c>
    </row>
    <row r="595" spans="1:13" ht="28.5">
      <c r="A595" s="1271">
        <v>93656</v>
      </c>
      <c r="B595" s="1272" t="s">
        <v>26</v>
      </c>
      <c r="C595" s="1271" t="s">
        <v>1050</v>
      </c>
      <c r="D595" s="1274" t="s">
        <v>879</v>
      </c>
      <c r="E595" s="1271" t="s">
        <v>55</v>
      </c>
      <c r="F595" s="1293">
        <v>1</v>
      </c>
      <c r="G595" s="1283">
        <v>15.57</v>
      </c>
      <c r="H595" s="1277">
        <v>19.462499999999999</v>
      </c>
      <c r="I595" s="1277">
        <v>15.57</v>
      </c>
      <c r="J595" s="1277">
        <v>19.462499999999999</v>
      </c>
      <c r="K595" s="1278">
        <f t="shared" si="18"/>
        <v>2.5533428435987441E-6</v>
      </c>
      <c r="L595" s="1278">
        <f t="shared" si="19"/>
        <v>0.99842461242848457</v>
      </c>
      <c r="M595" s="1279" t="s">
        <v>2319</v>
      </c>
    </row>
    <row r="596" spans="1:13" ht="29.25" customHeight="1">
      <c r="A596" s="1271" t="s">
        <v>910</v>
      </c>
      <c r="B596" s="1272" t="s">
        <v>26</v>
      </c>
      <c r="C596" s="1272" t="s">
        <v>911</v>
      </c>
      <c r="D596" s="1274" t="s">
        <v>912</v>
      </c>
      <c r="E596" s="1271" t="s">
        <v>55</v>
      </c>
      <c r="F596" s="1293">
        <v>10</v>
      </c>
      <c r="G596" s="1283">
        <v>1.53</v>
      </c>
      <c r="H596" s="1277">
        <v>1.9125000000000001</v>
      </c>
      <c r="I596" s="1277">
        <v>15.3</v>
      </c>
      <c r="J596" s="1277">
        <v>19.125</v>
      </c>
      <c r="K596" s="1278">
        <f t="shared" si="18"/>
        <v>2.5090652220334482E-6</v>
      </c>
      <c r="L596" s="1278">
        <f t="shared" si="19"/>
        <v>0.9984271214937066</v>
      </c>
      <c r="M596" s="1279" t="s">
        <v>2319</v>
      </c>
    </row>
    <row r="597" spans="1:13" ht="27.75" customHeight="1">
      <c r="A597" s="1271">
        <v>91936</v>
      </c>
      <c r="B597" s="1272" t="s">
        <v>26</v>
      </c>
      <c r="C597" s="1272" t="s">
        <v>1106</v>
      </c>
      <c r="D597" s="1274" t="s">
        <v>1028</v>
      </c>
      <c r="E597" s="1271" t="s">
        <v>55</v>
      </c>
      <c r="F597" s="1293">
        <v>1</v>
      </c>
      <c r="G597" s="1283">
        <v>15.04</v>
      </c>
      <c r="H597" s="1277">
        <v>18.799999999999997</v>
      </c>
      <c r="I597" s="1277">
        <v>15.04</v>
      </c>
      <c r="J597" s="1277">
        <v>18.799999999999997</v>
      </c>
      <c r="K597" s="1278">
        <f t="shared" si="18"/>
        <v>2.4664275123779771E-6</v>
      </c>
      <c r="L597" s="1278">
        <f t="shared" si="19"/>
        <v>0.99842958792121894</v>
      </c>
      <c r="M597" s="1279" t="s">
        <v>2319</v>
      </c>
    </row>
    <row r="598" spans="1:13" ht="27.75" customHeight="1">
      <c r="A598" s="1271">
        <v>8005</v>
      </c>
      <c r="B598" s="1272" t="s">
        <v>67</v>
      </c>
      <c r="C598" s="1272" t="s">
        <v>860</v>
      </c>
      <c r="D598" s="1274" t="s">
        <v>861</v>
      </c>
      <c r="E598" s="1271" t="s">
        <v>55</v>
      </c>
      <c r="F598" s="1293">
        <v>12</v>
      </c>
      <c r="G598" s="1283">
        <v>1.25</v>
      </c>
      <c r="H598" s="1277">
        <v>1.5625</v>
      </c>
      <c r="I598" s="1277">
        <v>15</v>
      </c>
      <c r="J598" s="1277">
        <v>18.75</v>
      </c>
      <c r="K598" s="1278">
        <f t="shared" si="18"/>
        <v>2.4598678647386744E-6</v>
      </c>
      <c r="L598" s="1278">
        <f t="shared" si="19"/>
        <v>0.99843204778908368</v>
      </c>
      <c r="M598" s="1279" t="s">
        <v>2319</v>
      </c>
    </row>
    <row r="599" spans="1:13" ht="30" customHeight="1">
      <c r="A599" s="1271">
        <v>9925</v>
      </c>
      <c r="B599" s="1272" t="s">
        <v>67</v>
      </c>
      <c r="C599" s="1272" t="s">
        <v>1210</v>
      </c>
      <c r="D599" s="1274" t="s">
        <v>1130</v>
      </c>
      <c r="E599" s="1271" t="s">
        <v>55</v>
      </c>
      <c r="F599" s="1293">
        <v>7</v>
      </c>
      <c r="G599" s="1283">
        <v>1.97</v>
      </c>
      <c r="H599" s="1277">
        <v>2.4624999999999999</v>
      </c>
      <c r="I599" s="1277">
        <v>13.79</v>
      </c>
      <c r="J599" s="1277">
        <v>17.237500000000001</v>
      </c>
      <c r="K599" s="1278">
        <f t="shared" si="18"/>
        <v>2.2614385236497549E-6</v>
      </c>
      <c r="L599" s="1278">
        <f t="shared" si="19"/>
        <v>0.99843430922760734</v>
      </c>
      <c r="M599" s="1279" t="s">
        <v>2319</v>
      </c>
    </row>
    <row r="600" spans="1:13" ht="30" customHeight="1">
      <c r="A600" s="1271">
        <v>2892</v>
      </c>
      <c r="B600" s="1272" t="s">
        <v>67</v>
      </c>
      <c r="C600" s="1272" t="s">
        <v>794</v>
      </c>
      <c r="D600" s="1274" t="s">
        <v>795</v>
      </c>
      <c r="E600" s="1271" t="s">
        <v>55</v>
      </c>
      <c r="F600" s="1293">
        <v>6</v>
      </c>
      <c r="G600" s="1283">
        <v>2.2000000000000002</v>
      </c>
      <c r="H600" s="1277">
        <v>2.75</v>
      </c>
      <c r="I600" s="1277">
        <v>13.200000000000001</v>
      </c>
      <c r="J600" s="1277">
        <v>16.5</v>
      </c>
      <c r="K600" s="1278">
        <f t="shared" si="18"/>
        <v>2.1646837209700336E-6</v>
      </c>
      <c r="L600" s="1278">
        <f t="shared" si="19"/>
        <v>0.99843647391132828</v>
      </c>
      <c r="M600" s="1279" t="s">
        <v>2319</v>
      </c>
    </row>
    <row r="601" spans="1:13" ht="18" customHeight="1">
      <c r="A601" s="1271" t="s">
        <v>913</v>
      </c>
      <c r="B601" s="1272" t="s">
        <v>26</v>
      </c>
      <c r="C601" s="1272" t="s">
        <v>914</v>
      </c>
      <c r="D601" s="1274" t="s">
        <v>915</v>
      </c>
      <c r="E601" s="1271" t="s">
        <v>55</v>
      </c>
      <c r="F601" s="1293">
        <v>10</v>
      </c>
      <c r="G601" s="1283">
        <v>1.02</v>
      </c>
      <c r="H601" s="1277">
        <v>1.2749999999999999</v>
      </c>
      <c r="I601" s="1277">
        <v>10.199999999999999</v>
      </c>
      <c r="J601" s="1277">
        <v>12.75</v>
      </c>
      <c r="K601" s="1278">
        <f t="shared" si="18"/>
        <v>1.6727101480222986E-6</v>
      </c>
      <c r="L601" s="1278">
        <f t="shared" si="19"/>
        <v>0.99843814662147634</v>
      </c>
      <c r="M601" s="1279" t="s">
        <v>2319</v>
      </c>
    </row>
    <row r="602" spans="1:13" ht="18" customHeight="1">
      <c r="A602" s="1271" t="s">
        <v>780</v>
      </c>
      <c r="B602" s="1272" t="s">
        <v>26</v>
      </c>
      <c r="C602" s="1272" t="s">
        <v>781</v>
      </c>
      <c r="D602" s="1274" t="s">
        <v>782</v>
      </c>
      <c r="E602" s="1271" t="s">
        <v>55</v>
      </c>
      <c r="F602" s="1293">
        <v>4</v>
      </c>
      <c r="G602" s="1283">
        <v>2.5</v>
      </c>
      <c r="H602" s="1277">
        <v>3.125</v>
      </c>
      <c r="I602" s="1277">
        <v>10</v>
      </c>
      <c r="J602" s="1277">
        <v>12.5</v>
      </c>
      <c r="K602" s="1278">
        <f t="shared" si="18"/>
        <v>1.6399119098257831E-6</v>
      </c>
      <c r="L602" s="1278">
        <f t="shared" si="19"/>
        <v>0.99843978653338616</v>
      </c>
      <c r="M602" s="1279" t="s">
        <v>2319</v>
      </c>
    </row>
    <row r="603" spans="1:13" ht="18" customHeight="1">
      <c r="A603" s="1271" t="s">
        <v>1133</v>
      </c>
      <c r="B603" s="1272" t="s">
        <v>26</v>
      </c>
      <c r="C603" s="1272" t="s">
        <v>1219</v>
      </c>
      <c r="D603" s="1274" t="s">
        <v>1135</v>
      </c>
      <c r="E603" s="1271" t="s">
        <v>55</v>
      </c>
      <c r="F603" s="1293">
        <v>6</v>
      </c>
      <c r="G603" s="1283">
        <v>1.27</v>
      </c>
      <c r="H603" s="1277">
        <v>1.5874999999999999</v>
      </c>
      <c r="I603" s="1277">
        <v>7.62</v>
      </c>
      <c r="J603" s="1277">
        <v>9.5249999999999986</v>
      </c>
      <c r="K603" s="1278">
        <f t="shared" si="18"/>
        <v>1.2496128752872465E-6</v>
      </c>
      <c r="L603" s="1278">
        <f t="shared" si="19"/>
        <v>0.99844103614626145</v>
      </c>
      <c r="M603" s="1279" t="s">
        <v>2319</v>
      </c>
    </row>
    <row r="604" spans="1:13" ht="18" customHeight="1">
      <c r="A604" s="1271">
        <v>4000</v>
      </c>
      <c r="B604" s="1272" t="s">
        <v>67</v>
      </c>
      <c r="C604" s="1272" t="s">
        <v>798</v>
      </c>
      <c r="D604" s="1274" t="s">
        <v>799</v>
      </c>
      <c r="E604" s="1271" t="s">
        <v>55</v>
      </c>
      <c r="F604" s="1293">
        <v>6</v>
      </c>
      <c r="G604" s="1283">
        <v>1.25</v>
      </c>
      <c r="H604" s="1277">
        <v>1.5625</v>
      </c>
      <c r="I604" s="1277">
        <v>7.5</v>
      </c>
      <c r="J604" s="1277">
        <v>9.375</v>
      </c>
      <c r="K604" s="1278">
        <f t="shared" si="18"/>
        <v>1.2299339323693372E-6</v>
      </c>
      <c r="L604" s="1278">
        <f t="shared" si="19"/>
        <v>0.99844226608019382</v>
      </c>
      <c r="M604" s="1279" t="s">
        <v>2319</v>
      </c>
    </row>
    <row r="605" spans="1:13" ht="18" customHeight="1">
      <c r="A605" s="1271">
        <v>8998</v>
      </c>
      <c r="B605" s="1272" t="s">
        <v>67</v>
      </c>
      <c r="C605" s="1272" t="s">
        <v>1117</v>
      </c>
      <c r="D605" s="1274" t="s">
        <v>937</v>
      </c>
      <c r="E605" s="1271" t="s">
        <v>55</v>
      </c>
      <c r="F605" s="1293">
        <v>2</v>
      </c>
      <c r="G605" s="1283">
        <v>3.59</v>
      </c>
      <c r="H605" s="1277">
        <v>4.4874999999999998</v>
      </c>
      <c r="I605" s="1277">
        <v>7.18</v>
      </c>
      <c r="J605" s="1277">
        <v>8.9749999999999996</v>
      </c>
      <c r="K605" s="1278">
        <f t="shared" si="18"/>
        <v>1.1774567512549121E-6</v>
      </c>
      <c r="L605" s="1278">
        <f t="shared" si="19"/>
        <v>0.99844344353694503</v>
      </c>
      <c r="M605" s="1279" t="s">
        <v>2319</v>
      </c>
    </row>
    <row r="606" spans="1:13" ht="18" customHeight="1">
      <c r="A606" s="1271">
        <v>372</v>
      </c>
      <c r="B606" s="1272" t="s">
        <v>67</v>
      </c>
      <c r="C606" s="1272" t="s">
        <v>1202</v>
      </c>
      <c r="D606" s="1274" t="s">
        <v>1203</v>
      </c>
      <c r="E606" s="1271" t="s">
        <v>55</v>
      </c>
      <c r="F606" s="1293">
        <v>2</v>
      </c>
      <c r="G606" s="1283">
        <v>3.29</v>
      </c>
      <c r="H606" s="1277">
        <v>4.1124999999999998</v>
      </c>
      <c r="I606" s="1277">
        <v>6.58</v>
      </c>
      <c r="J606" s="1277">
        <v>8.2249999999999996</v>
      </c>
      <c r="K606" s="1278">
        <f t="shared" si="18"/>
        <v>1.0790620366653652E-6</v>
      </c>
      <c r="L606" s="1278">
        <f t="shared" si="19"/>
        <v>0.99844452259898164</v>
      </c>
      <c r="M606" s="1279" t="s">
        <v>2319</v>
      </c>
    </row>
    <row r="607" spans="1:13" ht="18" customHeight="1">
      <c r="A607" s="1271">
        <v>12984</v>
      </c>
      <c r="B607" s="1272" t="s">
        <v>67</v>
      </c>
      <c r="C607" s="1272" t="s">
        <v>1116</v>
      </c>
      <c r="D607" s="1318" t="s">
        <v>1115</v>
      </c>
      <c r="E607" s="1271" t="s">
        <v>55</v>
      </c>
      <c r="F607" s="1293">
        <v>2</v>
      </c>
      <c r="G607" s="1283">
        <v>3.27</v>
      </c>
      <c r="H607" s="1277">
        <v>4.0875000000000004</v>
      </c>
      <c r="I607" s="1277">
        <v>6.54</v>
      </c>
      <c r="J607" s="1277">
        <v>8.1750000000000007</v>
      </c>
      <c r="K607" s="1278">
        <f t="shared" si="18"/>
        <v>1.0725023890260621E-6</v>
      </c>
      <c r="L607" s="1278">
        <f t="shared" si="19"/>
        <v>0.99844559510137065</v>
      </c>
      <c r="M607" s="1279" t="s">
        <v>2319</v>
      </c>
    </row>
    <row r="608" spans="1:13" ht="18" customHeight="1">
      <c r="A608" s="1271" t="s">
        <v>1133</v>
      </c>
      <c r="B608" s="1272" t="s">
        <v>26</v>
      </c>
      <c r="C608" s="1272" t="s">
        <v>1136</v>
      </c>
      <c r="D608" s="1274" t="s">
        <v>1135</v>
      </c>
      <c r="E608" s="1271" t="s">
        <v>55</v>
      </c>
      <c r="F608" s="1293">
        <v>3</v>
      </c>
      <c r="G608" s="1303">
        <v>1.27</v>
      </c>
      <c r="H608" s="1277">
        <v>1.5874999999999999</v>
      </c>
      <c r="I608" s="1277">
        <v>3.81</v>
      </c>
      <c r="J608" s="1277">
        <v>4.7624999999999993</v>
      </c>
      <c r="K608" s="1278">
        <f t="shared" si="18"/>
        <v>6.2480643764362327E-7</v>
      </c>
      <c r="L608" s="1278">
        <f t="shared" si="19"/>
        <v>0.99844621990780835</v>
      </c>
      <c r="M608" s="1279" t="s">
        <v>2319</v>
      </c>
    </row>
    <row r="609" spans="1:16" ht="18" customHeight="1">
      <c r="A609" s="1271">
        <v>344</v>
      </c>
      <c r="B609" s="1272" t="s">
        <v>67</v>
      </c>
      <c r="C609" s="1272" t="s">
        <v>1204</v>
      </c>
      <c r="D609" s="1274" t="s">
        <v>1122</v>
      </c>
      <c r="E609" s="1271" t="s">
        <v>55</v>
      </c>
      <c r="F609" s="1293">
        <v>2</v>
      </c>
      <c r="G609" s="1283">
        <v>1.63</v>
      </c>
      <c r="H609" s="1277">
        <v>2.0374999999999996</v>
      </c>
      <c r="I609" s="1277">
        <v>3.26</v>
      </c>
      <c r="J609" s="1277">
        <v>4.0749999999999993</v>
      </c>
      <c r="K609" s="1278">
        <f t="shared" si="18"/>
        <v>5.3461128260320518E-7</v>
      </c>
      <c r="L609" s="1278">
        <f t="shared" si="19"/>
        <v>0.99844675451909093</v>
      </c>
      <c r="M609" s="1279" t="s">
        <v>2319</v>
      </c>
    </row>
    <row r="610" spans="1:16" ht="22.9" customHeight="1">
      <c r="A610" s="1295" t="s">
        <v>1256</v>
      </c>
      <c r="B610" s="1307" t="s">
        <v>67</v>
      </c>
      <c r="C610" s="1273" t="s">
        <v>1257</v>
      </c>
      <c r="D610" s="1274" t="s">
        <v>1258</v>
      </c>
      <c r="E610" s="1271" t="s">
        <v>55</v>
      </c>
      <c r="F610" s="1293">
        <v>5</v>
      </c>
      <c r="G610" s="1283">
        <v>0.16</v>
      </c>
      <c r="H610" s="1277">
        <v>0.2</v>
      </c>
      <c r="I610" s="1313">
        <v>0.8</v>
      </c>
      <c r="J610" s="1313">
        <v>1</v>
      </c>
      <c r="K610" s="1278">
        <f t="shared" si="18"/>
        <v>1.3119295278606263E-7</v>
      </c>
      <c r="L610" s="1319">
        <f t="shared" si="19"/>
        <v>0.99844688571204376</v>
      </c>
      <c r="M610" s="1279" t="s">
        <v>2319</v>
      </c>
    </row>
    <row r="611" spans="1:16" ht="15.75">
      <c r="A611" s="1320"/>
      <c r="B611" s="1321"/>
      <c r="C611" s="1322"/>
      <c r="D611" s="1323"/>
      <c r="E611" s="1323"/>
      <c r="F611" s="1324"/>
      <c r="G611" s="1323"/>
      <c r="H611" s="1323"/>
      <c r="I611" s="1323"/>
      <c r="J611" s="1325"/>
      <c r="K611" s="1325"/>
      <c r="L611" s="1325"/>
    </row>
    <row r="612" spans="1:16" s="1320" customFormat="1">
      <c r="C612" s="1323"/>
      <c r="D612" s="1323"/>
      <c r="E612" s="1323"/>
      <c r="F612" s="1324"/>
      <c r="G612" s="1323"/>
      <c r="H612" s="1323"/>
      <c r="I612" s="1323"/>
      <c r="J612" s="1325"/>
      <c r="K612" s="1325"/>
      <c r="L612" s="1325"/>
      <c r="N612" s="1189"/>
      <c r="O612" s="1189"/>
      <c r="P612" s="1189"/>
    </row>
    <row r="613" spans="1:16" s="1320" customFormat="1">
      <c r="C613" s="1323"/>
      <c r="D613" s="1323"/>
      <c r="E613" s="1323"/>
      <c r="F613" s="1324"/>
      <c r="G613" s="1323"/>
      <c r="H613" s="1323"/>
      <c r="I613" s="1323"/>
      <c r="J613" s="1325"/>
      <c r="K613" s="1325"/>
      <c r="L613" s="1325"/>
      <c r="N613" s="1189"/>
      <c r="O613" s="1189"/>
      <c r="P613" s="1189"/>
    </row>
    <row r="614" spans="1:16" s="1320" customFormat="1">
      <c r="C614" s="1323"/>
      <c r="D614" s="1323"/>
      <c r="E614" s="1323"/>
      <c r="F614" s="1324"/>
      <c r="G614" s="1323"/>
      <c r="H614" s="1323"/>
      <c r="I614" s="1323"/>
      <c r="J614" s="1325"/>
      <c r="K614" s="1325"/>
      <c r="L614" s="1325"/>
      <c r="N614" s="1189"/>
      <c r="O614" s="1189"/>
      <c r="P614" s="1189"/>
    </row>
    <row r="615" spans="1:16" s="1320" customFormat="1">
      <c r="C615" s="1323"/>
      <c r="D615" s="1323"/>
      <c r="E615" s="1323"/>
      <c r="F615" s="1324"/>
      <c r="G615" s="1323"/>
      <c r="H615" s="1323"/>
      <c r="I615" s="1323"/>
      <c r="J615" s="1325"/>
      <c r="K615" s="1325"/>
      <c r="L615" s="1325"/>
      <c r="N615" s="1189"/>
      <c r="O615" s="1189"/>
      <c r="P615" s="1189"/>
    </row>
    <row r="616" spans="1:16" s="1320" customFormat="1">
      <c r="C616" s="1323"/>
      <c r="D616" s="1323"/>
      <c r="E616" s="1323"/>
      <c r="F616" s="1324"/>
      <c r="G616" s="1323"/>
      <c r="H616" s="1323"/>
      <c r="I616" s="1323"/>
      <c r="J616" s="1325"/>
      <c r="K616" s="1325"/>
      <c r="L616" s="1325"/>
      <c r="N616" s="1189"/>
      <c r="O616" s="1189"/>
      <c r="P616" s="1189"/>
    </row>
    <row r="617" spans="1:16" s="1320" customFormat="1">
      <c r="C617" s="1323"/>
      <c r="D617" s="1323"/>
      <c r="E617" s="1323"/>
      <c r="F617" s="1324"/>
      <c r="G617" s="1323"/>
      <c r="H617" s="1323"/>
      <c r="I617" s="1323"/>
      <c r="J617" s="1325"/>
      <c r="K617" s="1325"/>
      <c r="L617" s="1325"/>
      <c r="N617" s="1189"/>
      <c r="O617" s="1189"/>
      <c r="P617" s="1189"/>
    </row>
    <row r="618" spans="1:16" s="1320" customFormat="1">
      <c r="C618" s="1323"/>
      <c r="D618" s="1323"/>
      <c r="E618" s="1323"/>
      <c r="F618" s="1324"/>
      <c r="G618" s="1323"/>
      <c r="H618" s="1323"/>
      <c r="I618" s="1323"/>
      <c r="J618" s="1325"/>
      <c r="K618" s="1325"/>
      <c r="L618" s="1325"/>
      <c r="N618" s="1189"/>
      <c r="O618" s="1189"/>
      <c r="P618" s="1189"/>
    </row>
    <row r="619" spans="1:16" s="1320" customFormat="1">
      <c r="C619" s="1323"/>
      <c r="D619" s="1323"/>
      <c r="E619" s="1323"/>
      <c r="F619" s="1324"/>
      <c r="G619" s="1323"/>
      <c r="H619" s="1323"/>
      <c r="I619" s="1323"/>
      <c r="J619" s="1325"/>
      <c r="K619" s="1325"/>
      <c r="L619" s="1325"/>
      <c r="N619" s="1189"/>
      <c r="O619" s="1189"/>
      <c r="P619" s="1189"/>
    </row>
    <row r="620" spans="1:16" s="1320" customFormat="1">
      <c r="C620" s="1323"/>
      <c r="D620" s="1323"/>
      <c r="E620" s="1323"/>
      <c r="F620" s="1324"/>
      <c r="G620" s="1323"/>
      <c r="H620" s="1323"/>
      <c r="I620" s="1323"/>
      <c r="J620" s="1325"/>
      <c r="K620" s="1325"/>
      <c r="L620" s="1325"/>
      <c r="N620" s="1189"/>
      <c r="O620" s="1189"/>
      <c r="P620" s="1189"/>
    </row>
    <row r="621" spans="1:16" s="1320" customFormat="1">
      <c r="C621" s="1323"/>
      <c r="D621" s="1323"/>
      <c r="E621" s="1323"/>
      <c r="F621" s="1324"/>
      <c r="G621" s="1323"/>
      <c r="H621" s="1323"/>
      <c r="I621" s="1323"/>
      <c r="J621" s="1325"/>
      <c r="K621" s="1325"/>
      <c r="L621" s="1325"/>
      <c r="N621" s="1189"/>
      <c r="O621" s="1189"/>
      <c r="P621" s="1189"/>
    </row>
    <row r="622" spans="1:16" s="1320" customFormat="1">
      <c r="C622" s="1323"/>
      <c r="D622" s="1323"/>
      <c r="E622" s="1323"/>
      <c r="F622" s="1324"/>
      <c r="G622" s="1323"/>
      <c r="H622" s="1323"/>
      <c r="I622" s="1323"/>
      <c r="J622" s="1325"/>
      <c r="K622" s="1325"/>
      <c r="L622" s="1325"/>
      <c r="N622" s="1189"/>
      <c r="O622" s="1189"/>
      <c r="P622" s="1189"/>
    </row>
    <row r="623" spans="1:16" s="1320" customFormat="1">
      <c r="C623" s="1323"/>
      <c r="D623" s="1323"/>
      <c r="E623" s="1323"/>
      <c r="F623" s="1324"/>
      <c r="G623" s="1323"/>
      <c r="H623" s="1323"/>
      <c r="I623" s="1323"/>
      <c r="J623" s="1325"/>
      <c r="K623" s="1325"/>
      <c r="L623" s="1325"/>
      <c r="N623" s="1189"/>
      <c r="O623" s="1189"/>
      <c r="P623" s="1189"/>
    </row>
    <row r="624" spans="1:16" s="1320" customFormat="1">
      <c r="C624" s="1323"/>
      <c r="D624" s="1323"/>
      <c r="E624" s="1323"/>
      <c r="F624" s="1324"/>
      <c r="G624" s="1323"/>
      <c r="H624" s="1323"/>
      <c r="I624" s="1323"/>
      <c r="J624" s="1325"/>
      <c r="K624" s="1325"/>
      <c r="L624" s="1325"/>
      <c r="N624" s="1189"/>
      <c r="O624" s="1189"/>
      <c r="P624" s="1189"/>
    </row>
    <row r="625" spans="3:16" s="1320" customFormat="1">
      <c r="C625" s="1323"/>
      <c r="D625" s="1323"/>
      <c r="E625" s="1323"/>
      <c r="F625" s="1324"/>
      <c r="G625" s="1323"/>
      <c r="H625" s="1323"/>
      <c r="I625" s="1323"/>
      <c r="J625" s="1325"/>
      <c r="K625" s="1325"/>
      <c r="L625" s="1325"/>
      <c r="N625" s="1189"/>
      <c r="O625" s="1189"/>
      <c r="P625" s="1189"/>
    </row>
    <row r="626" spans="3:16" s="1320" customFormat="1">
      <c r="C626" s="1323"/>
      <c r="D626" s="1323"/>
      <c r="E626" s="1323"/>
      <c r="F626" s="1324"/>
      <c r="G626" s="1323"/>
      <c r="H626" s="1323"/>
      <c r="I626" s="1323"/>
      <c r="J626" s="1325"/>
      <c r="K626" s="1325"/>
      <c r="L626" s="1325"/>
      <c r="N626" s="1189"/>
      <c r="O626" s="1189"/>
      <c r="P626" s="1189"/>
    </row>
    <row r="627" spans="3:16" s="1320" customFormat="1">
      <c r="C627" s="1323"/>
      <c r="D627" s="1323"/>
      <c r="E627" s="1323"/>
      <c r="F627" s="1324"/>
      <c r="G627" s="1323"/>
      <c r="H627" s="1323"/>
      <c r="I627" s="1323"/>
      <c r="J627" s="1325"/>
      <c r="K627" s="1325"/>
      <c r="L627" s="1325"/>
      <c r="N627" s="1189"/>
      <c r="O627" s="1189"/>
      <c r="P627" s="1189"/>
    </row>
    <row r="628" spans="3:16" s="1320" customFormat="1">
      <c r="C628" s="1323"/>
      <c r="D628" s="1323"/>
      <c r="E628" s="1323"/>
      <c r="F628" s="1324"/>
      <c r="G628" s="1323"/>
      <c r="H628" s="1323"/>
      <c r="I628" s="1323"/>
      <c r="J628" s="1325"/>
      <c r="K628" s="1325"/>
      <c r="L628" s="1325"/>
      <c r="N628" s="1189"/>
      <c r="O628" s="1189"/>
      <c r="P628" s="1189"/>
    </row>
    <row r="629" spans="3:16" s="1320" customFormat="1">
      <c r="C629" s="1323"/>
      <c r="D629" s="1323"/>
      <c r="E629" s="1323"/>
      <c r="F629" s="1324"/>
      <c r="G629" s="1323"/>
      <c r="H629" s="1323"/>
      <c r="I629" s="1323"/>
      <c r="J629" s="1325"/>
      <c r="K629" s="1325"/>
      <c r="L629" s="1325"/>
      <c r="N629" s="1189"/>
      <c r="O629" s="1189"/>
      <c r="P629" s="1189"/>
    </row>
    <row r="630" spans="3:16" s="1320" customFormat="1">
      <c r="C630" s="1323"/>
      <c r="D630" s="1323"/>
      <c r="E630" s="1323"/>
      <c r="F630" s="1324"/>
      <c r="G630" s="1323"/>
      <c r="H630" s="1323"/>
      <c r="I630" s="1323"/>
      <c r="J630" s="1325"/>
      <c r="K630" s="1325"/>
      <c r="L630" s="1325"/>
      <c r="N630" s="1189"/>
      <c r="O630" s="1189"/>
      <c r="P630" s="1189"/>
    </row>
    <row r="631" spans="3:16" s="1320" customFormat="1">
      <c r="C631" s="1323"/>
      <c r="D631" s="1323"/>
      <c r="E631" s="1323"/>
      <c r="F631" s="1324"/>
      <c r="G631" s="1323"/>
      <c r="H631" s="1323"/>
      <c r="I631" s="1323"/>
      <c r="J631" s="1325"/>
      <c r="K631" s="1325"/>
      <c r="L631" s="1325"/>
      <c r="N631" s="1189"/>
      <c r="O631" s="1189"/>
      <c r="P631" s="1189"/>
    </row>
    <row r="632" spans="3:16" s="1320" customFormat="1">
      <c r="C632" s="1323"/>
      <c r="D632" s="1323"/>
      <c r="E632" s="1323"/>
      <c r="F632" s="1324"/>
      <c r="G632" s="1323"/>
      <c r="H632" s="1323"/>
      <c r="I632" s="1323"/>
      <c r="J632" s="1325"/>
      <c r="K632" s="1325"/>
      <c r="L632" s="1325"/>
      <c r="N632" s="1189"/>
      <c r="O632" s="1189"/>
      <c r="P632" s="1189"/>
    </row>
    <row r="633" spans="3:16" s="1320" customFormat="1">
      <c r="C633" s="1323"/>
      <c r="D633" s="1323"/>
      <c r="E633" s="1323"/>
      <c r="F633" s="1324"/>
      <c r="G633" s="1323"/>
      <c r="H633" s="1323"/>
      <c r="I633" s="1323"/>
      <c r="J633" s="1325"/>
      <c r="K633" s="1325"/>
      <c r="L633" s="1325"/>
      <c r="N633" s="1189"/>
      <c r="O633" s="1189"/>
      <c r="P633" s="1189"/>
    </row>
    <row r="634" spans="3:16" s="1320" customFormat="1">
      <c r="C634" s="1323"/>
      <c r="D634" s="1323"/>
      <c r="E634" s="1323"/>
      <c r="F634" s="1324"/>
      <c r="G634" s="1323"/>
      <c r="H634" s="1323"/>
      <c r="I634" s="1323"/>
      <c r="J634" s="1325"/>
      <c r="K634" s="1325"/>
      <c r="L634" s="1325"/>
      <c r="N634" s="1189"/>
      <c r="O634" s="1189"/>
      <c r="P634" s="1189"/>
    </row>
    <row r="635" spans="3:16" s="1320" customFormat="1">
      <c r="C635" s="1323"/>
      <c r="D635" s="1323"/>
      <c r="E635" s="1323"/>
      <c r="F635" s="1324"/>
      <c r="G635" s="1323"/>
      <c r="H635" s="1323"/>
      <c r="I635" s="1323"/>
      <c r="J635" s="1325"/>
      <c r="K635" s="1325"/>
      <c r="L635" s="1325"/>
      <c r="N635" s="1189"/>
      <c r="O635" s="1189"/>
      <c r="P635" s="1189"/>
    </row>
    <row r="636" spans="3:16" s="1320" customFormat="1">
      <c r="C636" s="1323"/>
      <c r="D636" s="1323"/>
      <c r="E636" s="1323"/>
      <c r="F636" s="1324"/>
      <c r="G636" s="1323"/>
      <c r="H636" s="1323"/>
      <c r="I636" s="1323"/>
      <c r="J636" s="1325"/>
      <c r="K636" s="1325"/>
      <c r="L636" s="1325"/>
      <c r="N636" s="1189"/>
      <c r="O636" s="1189"/>
      <c r="P636" s="1189"/>
    </row>
    <row r="637" spans="3:16" s="1320" customFormat="1">
      <c r="C637" s="1323"/>
      <c r="D637" s="1323"/>
      <c r="E637" s="1323"/>
      <c r="F637" s="1324"/>
      <c r="G637" s="1323"/>
      <c r="H637" s="1323"/>
      <c r="I637" s="1323"/>
      <c r="J637" s="1325"/>
      <c r="K637" s="1325"/>
      <c r="L637" s="1325"/>
      <c r="N637" s="1189"/>
      <c r="O637" s="1189"/>
      <c r="P637" s="1189"/>
    </row>
    <row r="638" spans="3:16" s="1320" customFormat="1">
      <c r="C638" s="1323"/>
      <c r="D638" s="1323"/>
      <c r="E638" s="1323"/>
      <c r="F638" s="1324"/>
      <c r="G638" s="1323"/>
      <c r="H638" s="1323"/>
      <c r="I638" s="1323"/>
      <c r="J638" s="1325"/>
      <c r="K638" s="1325"/>
      <c r="L638" s="1325"/>
      <c r="N638" s="1189"/>
      <c r="O638" s="1189"/>
      <c r="P638" s="1189"/>
    </row>
    <row r="639" spans="3:16" s="1320" customFormat="1">
      <c r="C639" s="1323"/>
      <c r="D639" s="1323"/>
      <c r="E639" s="1323"/>
      <c r="F639" s="1324"/>
      <c r="G639" s="1323"/>
      <c r="H639" s="1323"/>
      <c r="I639" s="1323"/>
      <c r="J639" s="1325"/>
      <c r="K639" s="1325"/>
      <c r="L639" s="1325"/>
      <c r="N639" s="1189"/>
      <c r="O639" s="1189"/>
      <c r="P639" s="1189"/>
    </row>
    <row r="640" spans="3:16" s="1320" customFormat="1">
      <c r="C640" s="1323"/>
      <c r="D640" s="1323"/>
      <c r="E640" s="1323"/>
      <c r="F640" s="1324"/>
      <c r="G640" s="1323"/>
      <c r="H640" s="1323"/>
      <c r="I640" s="1323"/>
      <c r="J640" s="1325"/>
      <c r="K640" s="1325"/>
      <c r="L640" s="1325"/>
      <c r="N640" s="1189"/>
      <c r="O640" s="1189"/>
      <c r="P640" s="1189"/>
    </row>
    <row r="641" spans="3:16" s="1320" customFormat="1">
      <c r="C641" s="1323"/>
      <c r="D641" s="1323"/>
      <c r="E641" s="1323"/>
      <c r="F641" s="1324"/>
      <c r="G641" s="1323"/>
      <c r="H641" s="1323"/>
      <c r="I641" s="1323"/>
      <c r="J641" s="1325"/>
      <c r="K641" s="1325"/>
      <c r="L641" s="1325"/>
      <c r="N641" s="1189"/>
      <c r="O641" s="1189"/>
      <c r="P641" s="1189"/>
    </row>
    <row r="642" spans="3:16" s="1320" customFormat="1">
      <c r="C642" s="1323"/>
      <c r="D642" s="1323"/>
      <c r="E642" s="1323"/>
      <c r="F642" s="1324"/>
      <c r="G642" s="1323"/>
      <c r="H642" s="1323"/>
      <c r="I642" s="1323"/>
      <c r="J642" s="1325"/>
      <c r="K642" s="1325"/>
      <c r="L642" s="1325"/>
      <c r="N642" s="1189"/>
      <c r="O642" s="1189"/>
      <c r="P642" s="1189"/>
    </row>
    <row r="643" spans="3:16" s="1320" customFormat="1">
      <c r="C643" s="1323"/>
      <c r="D643" s="1323"/>
      <c r="E643" s="1323"/>
      <c r="F643" s="1324"/>
      <c r="G643" s="1323"/>
      <c r="H643" s="1323"/>
      <c r="I643" s="1323"/>
      <c r="J643" s="1325"/>
      <c r="K643" s="1325"/>
      <c r="L643" s="1325"/>
      <c r="N643" s="1189"/>
      <c r="O643" s="1189"/>
      <c r="P643" s="1189"/>
    </row>
    <row r="644" spans="3:16" s="1320" customFormat="1">
      <c r="C644" s="1323"/>
      <c r="D644" s="1323"/>
      <c r="E644" s="1323"/>
      <c r="F644" s="1324"/>
      <c r="G644" s="1323"/>
      <c r="H644" s="1323"/>
      <c r="I644" s="1323"/>
      <c r="J644" s="1325"/>
      <c r="K644" s="1325"/>
      <c r="L644" s="1325"/>
      <c r="N644" s="1189"/>
      <c r="O644" s="1189"/>
      <c r="P644" s="1189"/>
    </row>
    <row r="645" spans="3:16" s="1320" customFormat="1">
      <c r="C645" s="1323"/>
      <c r="D645" s="1323"/>
      <c r="E645" s="1323"/>
      <c r="F645" s="1324"/>
      <c r="G645" s="1323"/>
      <c r="H645" s="1323"/>
      <c r="I645" s="1323"/>
      <c r="J645" s="1325"/>
      <c r="K645" s="1325"/>
      <c r="L645" s="1325"/>
      <c r="N645" s="1189"/>
      <c r="O645" s="1189"/>
      <c r="P645" s="1189"/>
    </row>
    <row r="646" spans="3:16" s="1320" customFormat="1">
      <c r="C646" s="1323"/>
      <c r="D646" s="1323"/>
      <c r="E646" s="1323"/>
      <c r="F646" s="1324"/>
      <c r="G646" s="1323"/>
      <c r="H646" s="1323"/>
      <c r="I646" s="1323"/>
      <c r="J646" s="1325"/>
      <c r="K646" s="1325"/>
      <c r="L646" s="1325"/>
      <c r="N646" s="1189"/>
      <c r="O646" s="1189"/>
      <c r="P646" s="1189"/>
    </row>
    <row r="647" spans="3:16" s="1320" customFormat="1">
      <c r="C647" s="1323"/>
      <c r="D647" s="1323"/>
      <c r="E647" s="1323"/>
      <c r="F647" s="1324"/>
      <c r="G647" s="1323"/>
      <c r="H647" s="1323"/>
      <c r="I647" s="1323"/>
      <c r="J647" s="1325"/>
      <c r="K647" s="1325"/>
      <c r="L647" s="1325"/>
      <c r="N647" s="1189"/>
      <c r="O647" s="1189"/>
      <c r="P647" s="1189"/>
    </row>
    <row r="648" spans="3:16" s="1320" customFormat="1">
      <c r="C648" s="1323"/>
      <c r="D648" s="1323"/>
      <c r="E648" s="1323"/>
      <c r="F648" s="1324"/>
      <c r="G648" s="1323"/>
      <c r="H648" s="1323"/>
      <c r="I648" s="1323"/>
      <c r="J648" s="1325"/>
      <c r="K648" s="1325"/>
      <c r="L648" s="1325"/>
      <c r="N648" s="1189"/>
      <c r="O648" s="1189"/>
      <c r="P648" s="1189"/>
    </row>
    <row r="649" spans="3:16" s="1320" customFormat="1">
      <c r="C649" s="1323"/>
      <c r="D649" s="1323"/>
      <c r="E649" s="1323"/>
      <c r="F649" s="1324"/>
      <c r="G649" s="1323"/>
      <c r="H649" s="1323"/>
      <c r="I649" s="1323"/>
      <c r="J649" s="1325"/>
      <c r="K649" s="1325"/>
      <c r="L649" s="1325"/>
      <c r="N649" s="1189"/>
      <c r="O649" s="1189"/>
      <c r="P649" s="1189"/>
    </row>
    <row r="650" spans="3:16" s="1320" customFormat="1">
      <c r="C650" s="1323"/>
      <c r="D650" s="1323"/>
      <c r="E650" s="1323"/>
      <c r="F650" s="1324"/>
      <c r="G650" s="1323"/>
      <c r="H650" s="1323"/>
      <c r="I650" s="1323"/>
      <c r="J650" s="1325"/>
      <c r="K650" s="1325"/>
      <c r="L650" s="1325"/>
      <c r="N650" s="1189"/>
      <c r="O650" s="1189"/>
      <c r="P650" s="1189"/>
    </row>
  </sheetData>
  <sheetProtection password="8D0B" sheet="1" objects="1" scenarios="1" selectLockedCells="1" selectUnlockedCells="1"/>
  <sortState ref="A2:O610">
    <sortCondition descending="1" ref="K2:K610"/>
  </sortState>
  <printOptions horizontalCentered="1"/>
  <pageMargins left="0.43307086614173229" right="0.43307086614173229" top="0.55118110236220474" bottom="0.55118110236220474" header="0.51181102362204722" footer="0.31496062992125984"/>
  <pageSetup paperSize="9" scale="35" firstPageNumber="0" orientation="portrait" verticalDpi="597" r:id="rId1"/>
  <headerFooter alignWithMargins="0">
    <oddFooter>&amp;CTv. Osman Lordelo Guimarães, Quadra F, Lote 14 – Centro – Lauro de Freitas – Ba, CEP 42.700-000 – Tel. (71) 3797-2130 – CNPJ  32.690.778/0001-66</oddFooter>
  </headerFooter>
  <rowBreaks count="3" manualBreakCount="3">
    <brk id="126" max="12" man="1"/>
    <brk id="214" max="12" man="1"/>
    <brk id="259" max="12" man="1"/>
  </rowBreaks>
</worksheet>
</file>

<file path=xl/worksheets/sheet8.xml><?xml version="1.0" encoding="utf-8"?>
<worksheet xmlns="http://schemas.openxmlformats.org/spreadsheetml/2006/main" xmlns:r="http://schemas.openxmlformats.org/officeDocument/2006/relationships">
  <dimension ref="A1:O69"/>
  <sheetViews>
    <sheetView view="pageBreakPreview" zoomScale="70" zoomScaleNormal="70" zoomScaleSheetLayoutView="70" workbookViewId="0">
      <selection sqref="A1:XFD1048576"/>
    </sheetView>
  </sheetViews>
  <sheetFormatPr defaultColWidth="9.140625" defaultRowHeight="15"/>
  <cols>
    <col min="1" max="1" width="20.7109375" style="1" customWidth="1"/>
    <col min="2" max="2" width="15.140625" style="1" customWidth="1"/>
    <col min="3" max="3" width="67.5703125" style="2" customWidth="1"/>
    <col min="4" max="4" width="8.5703125" style="2" customWidth="1"/>
    <col min="5" max="5" width="15.140625" style="3" customWidth="1"/>
    <col min="6" max="6" width="18.5703125" style="2" customWidth="1"/>
    <col min="7" max="7" width="17.28515625" style="2" customWidth="1"/>
    <col min="8" max="8" width="24.42578125" style="2" customWidth="1"/>
    <col min="9" max="9" width="22.140625" style="4" customWidth="1"/>
    <col min="10" max="11" width="15.85546875" style="4" customWidth="1"/>
    <col min="12" max="12" width="12.7109375" style="5" customWidth="1"/>
    <col min="13" max="13" width="29.28515625" style="2" customWidth="1"/>
    <col min="14" max="16384" width="9.140625" style="2"/>
  </cols>
  <sheetData>
    <row r="1" spans="1:13" ht="30" customHeight="1">
      <c r="A1" s="936" t="s">
        <v>11</v>
      </c>
      <c r="B1" s="936" t="s">
        <v>12</v>
      </c>
      <c r="C1" s="936" t="s">
        <v>14</v>
      </c>
      <c r="D1" s="936" t="s">
        <v>15</v>
      </c>
      <c r="E1" s="937" t="s">
        <v>16</v>
      </c>
      <c r="F1" s="316" t="s">
        <v>17</v>
      </c>
      <c r="G1" s="316" t="s">
        <v>18</v>
      </c>
      <c r="H1" s="938" t="s">
        <v>19</v>
      </c>
      <c r="I1" s="317" t="s">
        <v>19</v>
      </c>
      <c r="J1" s="921" t="s">
        <v>20</v>
      </c>
      <c r="K1" s="921" t="s">
        <v>2731</v>
      </c>
      <c r="L1" s="921" t="s">
        <v>2732</v>
      </c>
      <c r="M1" s="2">
        <v>475703.62400000001</v>
      </c>
    </row>
    <row r="2" spans="1:13" ht="30" customHeight="1">
      <c r="A2" s="964">
        <v>39611</v>
      </c>
      <c r="B2" s="965" t="s">
        <v>26</v>
      </c>
      <c r="C2" s="966" t="s">
        <v>1421</v>
      </c>
      <c r="D2" s="964" t="s">
        <v>55</v>
      </c>
      <c r="E2" s="967">
        <f>'MEMORIAL DE CALCULO'!H3193</f>
        <v>1</v>
      </c>
      <c r="F2" s="968">
        <v>163075.91</v>
      </c>
      <c r="G2" s="969">
        <f t="shared" ref="G2:G30" si="0">F2*1.168</f>
        <v>190472.66287999999</v>
      </c>
      <c r="H2" s="969">
        <f>F2*E2</f>
        <v>163075.91</v>
      </c>
      <c r="I2" s="970">
        <f>G2*E2</f>
        <v>190472.66287999999</v>
      </c>
      <c r="J2" s="971">
        <f t="shared" ref="J2:J30" si="1">I2/$M$1</f>
        <v>0.40040195884654428</v>
      </c>
      <c r="K2" s="971">
        <f>J2</f>
        <v>0.40040195884654428</v>
      </c>
      <c r="L2" s="968" t="s">
        <v>2317</v>
      </c>
    </row>
    <row r="3" spans="1:13" ht="49.5" customHeight="1">
      <c r="A3" s="964" t="s">
        <v>1380</v>
      </c>
      <c r="B3" s="965" t="s">
        <v>26</v>
      </c>
      <c r="C3" s="966" t="s">
        <v>1381</v>
      </c>
      <c r="D3" s="964" t="s">
        <v>55</v>
      </c>
      <c r="E3" s="972">
        <f>'MEMORIAL DE CALCULO'!H3148</f>
        <v>12</v>
      </c>
      <c r="F3" s="968">
        <v>3199.9</v>
      </c>
      <c r="G3" s="969">
        <f t="shared" si="0"/>
        <v>3737.4831999999997</v>
      </c>
      <c r="H3" s="969">
        <f t="shared" ref="H3:H8" si="2">E3*F3</f>
        <v>38398.800000000003</v>
      </c>
      <c r="I3" s="970">
        <f t="shared" ref="I3:I8" si="3">E3*G3</f>
        <v>44849.7984</v>
      </c>
      <c r="J3" s="971">
        <f t="shared" si="1"/>
        <v>9.42809685216945E-2</v>
      </c>
      <c r="K3" s="971">
        <f>K2+J3</f>
        <v>0.49468292736823877</v>
      </c>
      <c r="L3" s="968" t="s">
        <v>2317</v>
      </c>
    </row>
    <row r="4" spans="1:13" ht="43.5" customHeight="1">
      <c r="A4" s="973" t="s">
        <v>1437</v>
      </c>
      <c r="B4" s="974" t="s">
        <v>67</v>
      </c>
      <c r="C4" s="975" t="s">
        <v>1438</v>
      </c>
      <c r="D4" s="973" t="s">
        <v>55</v>
      </c>
      <c r="E4" s="968">
        <f>'MEMORIAL DE CALCULO'!H3211</f>
        <v>1</v>
      </c>
      <c r="F4" s="968">
        <v>32200</v>
      </c>
      <c r="G4" s="969">
        <f t="shared" si="0"/>
        <v>37609.599999999999</v>
      </c>
      <c r="H4" s="969">
        <f t="shared" si="2"/>
        <v>32200</v>
      </c>
      <c r="I4" s="970">
        <f t="shared" si="3"/>
        <v>37609.599999999999</v>
      </c>
      <c r="J4" s="971">
        <f t="shared" si="1"/>
        <v>7.9060991135102218E-2</v>
      </c>
      <c r="K4" s="971">
        <f t="shared" ref="K4:K30" si="4">K3+J4</f>
        <v>0.57374391850334094</v>
      </c>
      <c r="L4" s="976" t="s">
        <v>2317</v>
      </c>
    </row>
    <row r="5" spans="1:13" ht="45.75" customHeight="1">
      <c r="A5" s="964" t="str">
        <f>'COTAÇÕES EQUIPAMENTOS'!A67:H67</f>
        <v>MERC04/13</v>
      </c>
      <c r="B5" s="965"/>
      <c r="C5" s="977" t="s">
        <v>1394</v>
      </c>
      <c r="D5" s="964" t="s">
        <v>55</v>
      </c>
      <c r="E5" s="972">
        <f>'MEMORIAL DE CALCULO'!H3169</f>
        <v>5</v>
      </c>
      <c r="F5" s="968">
        <f>'COTAÇÕES EQUIPAMENTOS'!H70</f>
        <v>6299</v>
      </c>
      <c r="G5" s="969">
        <f t="shared" si="0"/>
        <v>7357.232</v>
      </c>
      <c r="H5" s="969">
        <f t="shared" si="2"/>
        <v>31495</v>
      </c>
      <c r="I5" s="978">
        <f t="shared" si="3"/>
        <v>36786.160000000003</v>
      </c>
      <c r="J5" s="971">
        <f t="shared" si="1"/>
        <v>7.7329997385094551E-2</v>
      </c>
      <c r="K5" s="971">
        <f t="shared" si="4"/>
        <v>0.65107391588843555</v>
      </c>
      <c r="L5" s="968" t="s">
        <v>2317</v>
      </c>
    </row>
    <row r="6" spans="1:13" ht="50.25" customHeight="1">
      <c r="A6" s="964" t="s">
        <v>1385</v>
      </c>
      <c r="B6" s="964" t="s">
        <v>26</v>
      </c>
      <c r="C6" s="966" t="s">
        <v>1387</v>
      </c>
      <c r="D6" s="964" t="s">
        <v>55</v>
      </c>
      <c r="E6" s="972">
        <f>'MEMORIAL DE CALCULO'!H3160</f>
        <v>4</v>
      </c>
      <c r="F6" s="968">
        <v>6490.98</v>
      </c>
      <c r="G6" s="968">
        <f t="shared" si="0"/>
        <v>7581.4646399999992</v>
      </c>
      <c r="H6" s="968">
        <f t="shared" si="2"/>
        <v>25963.919999999998</v>
      </c>
      <c r="I6" s="967">
        <f t="shared" si="3"/>
        <v>30325.858559999997</v>
      </c>
      <c r="J6" s="971">
        <f t="shared" si="1"/>
        <v>6.3749479781133628E-2</v>
      </c>
      <c r="K6" s="971">
        <f t="shared" si="4"/>
        <v>0.71482339566956921</v>
      </c>
      <c r="L6" s="968" t="s">
        <v>2317</v>
      </c>
    </row>
    <row r="7" spans="1:13" ht="49.5" customHeight="1">
      <c r="A7" s="964" t="str">
        <f>'COTAÇÕES EQUIPAMENTOS'!A77:H77</f>
        <v>MERC04/15</v>
      </c>
      <c r="B7" s="965"/>
      <c r="C7" s="966" t="s">
        <v>1374</v>
      </c>
      <c r="D7" s="964" t="s">
        <v>55</v>
      </c>
      <c r="E7" s="967">
        <f>'MEMORIAL DE CALCULO'!H3137</f>
        <v>67</v>
      </c>
      <c r="F7" s="968">
        <f>'COTAÇÕES EQUIPAMENTOS'!H79</f>
        <v>334.52820895522387</v>
      </c>
      <c r="G7" s="969">
        <f t="shared" si="0"/>
        <v>390.72894805970145</v>
      </c>
      <c r="H7" s="969">
        <f t="shared" si="2"/>
        <v>22413.39</v>
      </c>
      <c r="I7" s="970">
        <f t="shared" si="3"/>
        <v>26178.839519999998</v>
      </c>
      <c r="J7" s="971">
        <f t="shared" si="1"/>
        <v>5.5031826959552443E-2</v>
      </c>
      <c r="K7" s="971">
        <f t="shared" si="4"/>
        <v>0.76985522262912165</v>
      </c>
      <c r="L7" s="979" t="s">
        <v>2317</v>
      </c>
    </row>
    <row r="8" spans="1:13" ht="53.25" customHeight="1">
      <c r="A8" s="922">
        <v>11087</v>
      </c>
      <c r="B8" s="923" t="s">
        <v>67</v>
      </c>
      <c r="C8" s="925" t="s">
        <v>1389</v>
      </c>
      <c r="D8" s="922" t="s">
        <v>55</v>
      </c>
      <c r="E8" s="926">
        <f>'MEMORIAL DE CALCULO'!H3163</f>
        <v>4</v>
      </c>
      <c r="F8" s="924">
        <v>5238.6099999999997</v>
      </c>
      <c r="G8" s="927">
        <f t="shared" si="0"/>
        <v>6118.6964799999996</v>
      </c>
      <c r="H8" s="927">
        <f t="shared" si="2"/>
        <v>20954.439999999999</v>
      </c>
      <c r="I8" s="953">
        <f t="shared" si="3"/>
        <v>24474.785919999998</v>
      </c>
      <c r="J8" s="954">
        <f t="shared" si="1"/>
        <v>5.1449652021150039E-2</v>
      </c>
      <c r="K8" s="954">
        <f t="shared" si="4"/>
        <v>0.82130487465027169</v>
      </c>
      <c r="L8" s="924" t="s">
        <v>2733</v>
      </c>
    </row>
    <row r="9" spans="1:13" ht="33.6" customHeight="1">
      <c r="A9" s="955" t="str">
        <f>'COTAÇÕES EQUIPAMENTOS'!A8</f>
        <v>MERC04/02</v>
      </c>
      <c r="B9" s="956"/>
      <c r="C9" s="957" t="s">
        <v>1419</v>
      </c>
      <c r="D9" s="928" t="s">
        <v>55</v>
      </c>
      <c r="E9" s="926">
        <f>'MEMORIAL DE CALCULO'!H3191</f>
        <v>42</v>
      </c>
      <c r="F9" s="926">
        <f>'COTAÇÕES EQUIPAMENTOS'!H13</f>
        <v>308.61</v>
      </c>
      <c r="G9" s="927">
        <f t="shared" si="0"/>
        <v>360.45648</v>
      </c>
      <c r="H9" s="927">
        <f>F9*E9</f>
        <v>12961.62</v>
      </c>
      <c r="I9" s="953">
        <f>G9*E9</f>
        <v>15139.17216</v>
      </c>
      <c r="J9" s="954">
        <f t="shared" si="1"/>
        <v>3.1824798879396383E-2</v>
      </c>
      <c r="K9" s="954">
        <f t="shared" si="4"/>
        <v>0.85312967352966806</v>
      </c>
      <c r="L9" s="924" t="s">
        <v>2733</v>
      </c>
    </row>
    <row r="10" spans="1:13" ht="61.5" customHeight="1">
      <c r="A10" s="955">
        <v>98304</v>
      </c>
      <c r="B10" s="956" t="s">
        <v>26</v>
      </c>
      <c r="C10" s="958" t="s">
        <v>1400</v>
      </c>
      <c r="D10" s="955" t="s">
        <v>55</v>
      </c>
      <c r="E10" s="959">
        <f>'MEMORIAL DE CALCULO'!H3175</f>
        <v>3</v>
      </c>
      <c r="F10" s="924">
        <v>3501.59</v>
      </c>
      <c r="G10" s="927">
        <f t="shared" si="0"/>
        <v>4089.8571200000001</v>
      </c>
      <c r="H10" s="927">
        <f>E10*F10</f>
        <v>10504.77</v>
      </c>
      <c r="I10" s="960">
        <f>E10*G10</f>
        <v>12269.57136</v>
      </c>
      <c r="J10" s="954">
        <f t="shared" si="1"/>
        <v>2.5792469808890925E-2</v>
      </c>
      <c r="K10" s="954">
        <f t="shared" si="4"/>
        <v>0.878922143338559</v>
      </c>
      <c r="L10" s="924" t="s">
        <v>2733</v>
      </c>
    </row>
    <row r="11" spans="1:13" ht="42.75">
      <c r="A11" s="955" t="s">
        <v>1378</v>
      </c>
      <c r="B11" s="956" t="s">
        <v>26</v>
      </c>
      <c r="C11" s="958" t="s">
        <v>1379</v>
      </c>
      <c r="D11" s="955" t="s">
        <v>55</v>
      </c>
      <c r="E11" s="961">
        <f>'MEMORIAL DE CALCULO'!H3143</f>
        <v>4</v>
      </c>
      <c r="F11" s="924">
        <v>2155.4899999999998</v>
      </c>
      <c r="G11" s="927">
        <f t="shared" si="0"/>
        <v>2517.6123199999997</v>
      </c>
      <c r="H11" s="927">
        <f>E11*F11</f>
        <v>8621.9599999999991</v>
      </c>
      <c r="I11" s="953">
        <f>E11*G11</f>
        <v>10070.449279999999</v>
      </c>
      <c r="J11" s="954">
        <f t="shared" si="1"/>
        <v>2.1169587053639933E-2</v>
      </c>
      <c r="K11" s="954">
        <f t="shared" si="4"/>
        <v>0.90009173039219892</v>
      </c>
      <c r="L11" s="924" t="s">
        <v>2733</v>
      </c>
    </row>
    <row r="12" spans="1:13" ht="29.25" customHeight="1">
      <c r="A12" s="962">
        <v>8507</v>
      </c>
      <c r="B12" s="962" t="s">
        <v>67</v>
      </c>
      <c r="C12" s="963" t="s">
        <v>1392</v>
      </c>
      <c r="D12" s="962" t="s">
        <v>55</v>
      </c>
      <c r="E12" s="961">
        <f>'MEMORIAL DE CALCULO'!H3167</f>
        <v>1</v>
      </c>
      <c r="F12" s="924">
        <v>4592.66</v>
      </c>
      <c r="G12" s="924">
        <f t="shared" si="0"/>
        <v>5364.2268799999993</v>
      </c>
      <c r="H12" s="924">
        <f>E12*F12</f>
        <v>4592.66</v>
      </c>
      <c r="I12" s="961">
        <f>E12*G12</f>
        <v>5364.2268799999993</v>
      </c>
      <c r="J12" s="954">
        <f t="shared" si="1"/>
        <v>1.1276405327532251E-2</v>
      </c>
      <c r="K12" s="954">
        <f t="shared" si="4"/>
        <v>0.91136813571973119</v>
      </c>
      <c r="L12" s="924" t="s">
        <v>2733</v>
      </c>
    </row>
    <row r="13" spans="1:13" ht="35.25" customHeight="1">
      <c r="A13" s="955" t="s">
        <v>1382</v>
      </c>
      <c r="B13" s="956" t="s">
        <v>26</v>
      </c>
      <c r="C13" s="958" t="s">
        <v>1384</v>
      </c>
      <c r="D13" s="955" t="s">
        <v>55</v>
      </c>
      <c r="E13" s="961">
        <f>'MEMORIAL DE CALCULO'!H3157</f>
        <v>1</v>
      </c>
      <c r="F13" s="924">
        <v>4422.57</v>
      </c>
      <c r="G13" s="927">
        <f t="shared" si="0"/>
        <v>5165.5617599999996</v>
      </c>
      <c r="H13" s="927">
        <f>E13*F13</f>
        <v>4422.57</v>
      </c>
      <c r="I13" s="953">
        <f>E13*G13</f>
        <v>5165.5617599999996</v>
      </c>
      <c r="J13" s="954">
        <f t="shared" si="1"/>
        <v>1.0858781601377919E-2</v>
      </c>
      <c r="K13" s="954">
        <f t="shared" si="4"/>
        <v>0.92222691732110906</v>
      </c>
      <c r="L13" s="924" t="s">
        <v>2733</v>
      </c>
    </row>
    <row r="14" spans="1:13" ht="25.5" customHeight="1">
      <c r="A14" s="955" t="str">
        <f>'COTAÇÕES EQUIPAMENTOS'!A37:H37</f>
        <v>MERC04/07</v>
      </c>
      <c r="B14" s="956"/>
      <c r="C14" s="958" t="s">
        <v>1427</v>
      </c>
      <c r="D14" s="955" t="s">
        <v>55</v>
      </c>
      <c r="E14" s="959">
        <f>'MEMORIAL DE CALCULO'!H3199</f>
        <v>2</v>
      </c>
      <c r="F14" s="924">
        <v>1928.65</v>
      </c>
      <c r="G14" s="927">
        <f t="shared" si="0"/>
        <v>2252.6632</v>
      </c>
      <c r="H14" s="927">
        <f>F14*E14</f>
        <v>3857.3</v>
      </c>
      <c r="I14" s="953">
        <f>G14*E14</f>
        <v>4505.3263999999999</v>
      </c>
      <c r="J14" s="954">
        <f t="shared" si="1"/>
        <v>9.4708683573114846E-3</v>
      </c>
      <c r="K14" s="954">
        <f t="shared" si="4"/>
        <v>0.93169778567842054</v>
      </c>
      <c r="L14" s="924" t="s">
        <v>2733</v>
      </c>
    </row>
    <row r="15" spans="1:13" s="44" customFormat="1" ht="20.45" customHeight="1">
      <c r="A15" s="955" t="s">
        <v>1376</v>
      </c>
      <c r="B15" s="956" t="s">
        <v>26</v>
      </c>
      <c r="C15" s="958" t="s">
        <v>1377</v>
      </c>
      <c r="D15" s="955" t="s">
        <v>55</v>
      </c>
      <c r="E15" s="961">
        <f>'MEMORIAL DE CALCULO'!H3140</f>
        <v>2</v>
      </c>
      <c r="F15" s="924">
        <v>1925.04</v>
      </c>
      <c r="G15" s="927">
        <f t="shared" si="0"/>
        <v>2248.4467199999999</v>
      </c>
      <c r="H15" s="927">
        <f>E15*F15</f>
        <v>3850.08</v>
      </c>
      <c r="I15" s="953">
        <f>E15*G15</f>
        <v>4496.8934399999998</v>
      </c>
      <c r="J15" s="954">
        <f t="shared" si="1"/>
        <v>9.453141017063179E-3</v>
      </c>
      <c r="K15" s="954">
        <f t="shared" si="4"/>
        <v>0.94115092669548372</v>
      </c>
      <c r="L15" s="924" t="s">
        <v>2733</v>
      </c>
    </row>
    <row r="16" spans="1:13" ht="21" customHeight="1">
      <c r="A16" s="939" t="str">
        <f>'COTAÇÕES EQUIPAMENTOS'!A87</f>
        <v>MERC04/17</v>
      </c>
      <c r="B16" s="940"/>
      <c r="C16" s="941" t="s">
        <v>1435</v>
      </c>
      <c r="D16" s="942" t="s">
        <v>55</v>
      </c>
      <c r="E16" s="943">
        <f>'MEMORIAL DE CALCULO'!H3208</f>
        <v>1</v>
      </c>
      <c r="F16" s="930">
        <f>'COTAÇÕES EQUIPAMENTOS'!H90</f>
        <v>3697.59</v>
      </c>
      <c r="G16" s="944">
        <f t="shared" si="0"/>
        <v>4318.7851199999996</v>
      </c>
      <c r="H16" s="944">
        <f>F16*E16</f>
        <v>3697.59</v>
      </c>
      <c r="I16" s="945">
        <f>G16*E16</f>
        <v>4318.7851199999996</v>
      </c>
      <c r="J16" s="946">
        <f t="shared" si="1"/>
        <v>9.0787307519019436E-3</v>
      </c>
      <c r="K16" s="946">
        <f t="shared" si="4"/>
        <v>0.95022965744738563</v>
      </c>
      <c r="L16" s="931" t="s">
        <v>2319</v>
      </c>
    </row>
    <row r="17" spans="1:15" ht="19.899999999999999" customHeight="1">
      <c r="A17" s="942" t="str">
        <f>'COTAÇÕES EQUIPAMENTOS'!A82:H82</f>
        <v>MERC04/16</v>
      </c>
      <c r="B17" s="947"/>
      <c r="C17" s="948" t="s">
        <v>1412</v>
      </c>
      <c r="D17" s="942" t="s">
        <v>55</v>
      </c>
      <c r="E17" s="949">
        <f>'MEMORIAL DE CALCULO'!H3185</f>
        <v>1</v>
      </c>
      <c r="F17" s="931">
        <v>3116.67</v>
      </c>
      <c r="G17" s="933">
        <f t="shared" si="0"/>
        <v>3640.2705599999999</v>
      </c>
      <c r="H17" s="933">
        <f>F17*E17</f>
        <v>3116.67</v>
      </c>
      <c r="I17" s="950">
        <f>G17*E17</f>
        <v>3640.2705599999999</v>
      </c>
      <c r="J17" s="946">
        <f t="shared" si="1"/>
        <v>7.6523919018956221E-3</v>
      </c>
      <c r="K17" s="946">
        <f t="shared" si="4"/>
        <v>0.95788204934928123</v>
      </c>
      <c r="L17" s="931" t="s">
        <v>2319</v>
      </c>
    </row>
    <row r="18" spans="1:15" ht="27" customHeight="1">
      <c r="A18" s="942">
        <v>13246</v>
      </c>
      <c r="B18" s="947" t="s">
        <v>67</v>
      </c>
      <c r="C18" s="948" t="s">
        <v>1423</v>
      </c>
      <c r="D18" s="942" t="s">
        <v>55</v>
      </c>
      <c r="E18" s="949">
        <f>'MEMORIAL DE CALCULO'!H3195</f>
        <v>1</v>
      </c>
      <c r="F18" s="931">
        <v>3076.08</v>
      </c>
      <c r="G18" s="933">
        <f t="shared" si="0"/>
        <v>3592.8614399999997</v>
      </c>
      <c r="H18" s="933">
        <f>F18*E18</f>
        <v>3076.08</v>
      </c>
      <c r="I18" s="950">
        <f>G18*E18</f>
        <v>3592.8614399999997</v>
      </c>
      <c r="J18" s="946">
        <f t="shared" si="1"/>
        <v>7.5527308574802861E-3</v>
      </c>
      <c r="K18" s="946">
        <f t="shared" si="4"/>
        <v>0.96543478020676154</v>
      </c>
      <c r="L18" s="931" t="s">
        <v>2319</v>
      </c>
    </row>
    <row r="19" spans="1:15" ht="28.5" customHeight="1">
      <c r="A19" s="942">
        <v>10305</v>
      </c>
      <c r="B19" s="947" t="s">
        <v>67</v>
      </c>
      <c r="C19" s="948" t="s">
        <v>1398</v>
      </c>
      <c r="D19" s="942" t="s">
        <v>55</v>
      </c>
      <c r="E19" s="949">
        <f>'MEMORIAL DE CALCULO'!H3174</f>
        <v>1</v>
      </c>
      <c r="F19" s="931">
        <v>2782.53</v>
      </c>
      <c r="G19" s="933">
        <f t="shared" si="0"/>
        <v>3249.9950400000002</v>
      </c>
      <c r="H19" s="933">
        <f>E19*F19</f>
        <v>2782.53</v>
      </c>
      <c r="I19" s="951">
        <f>E19*G19</f>
        <v>3249.9950400000002</v>
      </c>
      <c r="J19" s="946">
        <f t="shared" si="1"/>
        <v>6.8319745237004964E-3</v>
      </c>
      <c r="K19" s="946">
        <f t="shared" si="4"/>
        <v>0.97226675473046209</v>
      </c>
      <c r="L19" s="931" t="s">
        <v>2319</v>
      </c>
    </row>
    <row r="20" spans="1:15" ht="24" customHeight="1">
      <c r="A20" s="942" t="s">
        <v>1413</v>
      </c>
      <c r="B20" s="947" t="s">
        <v>67</v>
      </c>
      <c r="C20" s="948" t="s">
        <v>1415</v>
      </c>
      <c r="D20" s="942" t="s">
        <v>55</v>
      </c>
      <c r="E20" s="949">
        <f>'MEMORIAL DE CALCULO'!H3187</f>
        <v>1</v>
      </c>
      <c r="F20" s="931">
        <v>2768.71</v>
      </c>
      <c r="G20" s="933">
        <f t="shared" si="0"/>
        <v>3233.8532799999998</v>
      </c>
      <c r="H20" s="933">
        <f>F20*E20</f>
        <v>2768.71</v>
      </c>
      <c r="I20" s="950">
        <f>G20*E20</f>
        <v>3233.8532799999998</v>
      </c>
      <c r="J20" s="946">
        <f t="shared" si="1"/>
        <v>6.7980421355797781E-3</v>
      </c>
      <c r="K20" s="946">
        <f t="shared" si="4"/>
        <v>0.97906479686604186</v>
      </c>
      <c r="L20" s="931" t="s">
        <v>2319</v>
      </c>
    </row>
    <row r="21" spans="1:15" ht="26.45" customHeight="1">
      <c r="A21" s="942" t="s">
        <v>1408</v>
      </c>
      <c r="B21" s="947" t="s">
        <v>67</v>
      </c>
      <c r="C21" s="948" t="s">
        <v>1410</v>
      </c>
      <c r="D21" s="942" t="s">
        <v>55</v>
      </c>
      <c r="E21" s="949">
        <f>'MEMORIAL DE CALCULO'!H3183</f>
        <v>1</v>
      </c>
      <c r="F21" s="931">
        <v>2609.4</v>
      </c>
      <c r="G21" s="933">
        <f t="shared" si="0"/>
        <v>3047.7791999999999</v>
      </c>
      <c r="H21" s="933">
        <f>F21*E21</f>
        <v>2609.4</v>
      </c>
      <c r="I21" s="950">
        <f>G21*E21</f>
        <v>3047.7791999999999</v>
      </c>
      <c r="J21" s="946">
        <f t="shared" si="1"/>
        <v>6.406886654283718E-3</v>
      </c>
      <c r="K21" s="946">
        <f t="shared" si="4"/>
        <v>0.98547168352032555</v>
      </c>
      <c r="L21" s="931" t="s">
        <v>2319</v>
      </c>
    </row>
    <row r="22" spans="1:15" ht="31.5" customHeight="1">
      <c r="A22" s="942" t="str">
        <f>'COTAÇÕES EQUIPAMENTOS'!A15</f>
        <v>MERC04/03</v>
      </c>
      <c r="B22" s="947"/>
      <c r="C22" s="948" t="s">
        <v>1417</v>
      </c>
      <c r="D22" s="942" t="s">
        <v>55</v>
      </c>
      <c r="E22" s="949">
        <f>'MEMORIAL DE CALCULO'!H3189</f>
        <v>2</v>
      </c>
      <c r="F22" s="931">
        <v>889</v>
      </c>
      <c r="G22" s="933">
        <f t="shared" si="0"/>
        <v>1038.3519999999999</v>
      </c>
      <c r="H22" s="933">
        <f>F22*E22</f>
        <v>1778</v>
      </c>
      <c r="I22" s="950">
        <f>G22*E22</f>
        <v>2076.7039999999997</v>
      </c>
      <c r="J22" s="946">
        <f t="shared" si="1"/>
        <v>4.3655416844165136E-3</v>
      </c>
      <c r="K22" s="946">
        <f t="shared" si="4"/>
        <v>0.98983722520474204</v>
      </c>
      <c r="L22" s="931" t="s">
        <v>2319</v>
      </c>
    </row>
    <row r="23" spans="1:15" ht="28.9" customHeight="1">
      <c r="A23" s="942">
        <v>10727</v>
      </c>
      <c r="B23" s="947" t="s">
        <v>67</v>
      </c>
      <c r="C23" s="948" t="s">
        <v>1402</v>
      </c>
      <c r="D23" s="942" t="s">
        <v>55</v>
      </c>
      <c r="E23" s="949">
        <f>'MEMORIAL DE CALCULO'!H3177</f>
        <v>4</v>
      </c>
      <c r="F23" s="931">
        <v>280.45999999999998</v>
      </c>
      <c r="G23" s="933">
        <f t="shared" si="0"/>
        <v>327.57727999999997</v>
      </c>
      <c r="H23" s="933">
        <f>E23*F23</f>
        <v>1121.8399999999999</v>
      </c>
      <c r="I23" s="951">
        <f>E23*G23</f>
        <v>1310.3091199999999</v>
      </c>
      <c r="J23" s="946">
        <f t="shared" si="1"/>
        <v>2.7544652886646913E-3</v>
      </c>
      <c r="K23" s="946">
        <f t="shared" si="4"/>
        <v>0.99259169049340679</v>
      </c>
      <c r="L23" s="931" t="s">
        <v>2319</v>
      </c>
    </row>
    <row r="24" spans="1:15" ht="28.9" customHeight="1">
      <c r="A24" s="932">
        <v>11307</v>
      </c>
      <c r="B24" s="934" t="s">
        <v>67</v>
      </c>
      <c r="C24" s="935" t="s">
        <v>1404</v>
      </c>
      <c r="D24" s="932" t="s">
        <v>55</v>
      </c>
      <c r="E24" s="929">
        <f>'MEMORIAL DE CALCULO'!H3179</f>
        <v>1</v>
      </c>
      <c r="F24" s="929">
        <v>1013.77</v>
      </c>
      <c r="G24" s="933">
        <f t="shared" si="0"/>
        <v>1184.0833599999999</v>
      </c>
      <c r="H24" s="952">
        <f>E24*F24</f>
        <v>1013.77</v>
      </c>
      <c r="I24" s="952">
        <f t="shared" ref="I24:I29" si="5">G24*E24</f>
        <v>1184.0833599999999</v>
      </c>
      <c r="J24" s="946">
        <f t="shared" si="1"/>
        <v>2.489119906305359E-3</v>
      </c>
      <c r="K24" s="946">
        <f t="shared" si="4"/>
        <v>0.99508081039971219</v>
      </c>
      <c r="L24" s="931" t="s">
        <v>2319</v>
      </c>
    </row>
    <row r="25" spans="1:15" ht="20.45" customHeight="1">
      <c r="A25" s="942">
        <v>12397</v>
      </c>
      <c r="B25" s="947" t="s">
        <v>67</v>
      </c>
      <c r="C25" s="948" t="s">
        <v>1425</v>
      </c>
      <c r="D25" s="942" t="s">
        <v>55</v>
      </c>
      <c r="E25" s="949">
        <f>'MEMORIAL DE CALCULO'!H3197</f>
        <v>1</v>
      </c>
      <c r="F25" s="931">
        <v>846.63</v>
      </c>
      <c r="G25" s="933">
        <f t="shared" si="0"/>
        <v>988.86383999999998</v>
      </c>
      <c r="H25" s="933">
        <f>F25*E25</f>
        <v>846.63</v>
      </c>
      <c r="I25" s="950">
        <f t="shared" si="5"/>
        <v>988.86383999999998</v>
      </c>
      <c r="J25" s="946">
        <f t="shared" si="1"/>
        <v>2.0787393454879378E-3</v>
      </c>
      <c r="K25" s="946">
        <f t="shared" si="4"/>
        <v>0.99715954974520016</v>
      </c>
      <c r="L25" s="931" t="s">
        <v>2319</v>
      </c>
    </row>
    <row r="26" spans="1:15" ht="28.5" customHeight="1">
      <c r="A26" s="942" t="s">
        <v>1405</v>
      </c>
      <c r="B26" s="947"/>
      <c r="C26" s="948" t="s">
        <v>1407</v>
      </c>
      <c r="D26" s="942" t="s">
        <v>55</v>
      </c>
      <c r="E26" s="949">
        <f>'MEMORIAL DE CALCULO'!H3181</f>
        <v>1</v>
      </c>
      <c r="F26" s="931">
        <v>599.99</v>
      </c>
      <c r="G26" s="933">
        <f t="shared" si="0"/>
        <v>700.78832</v>
      </c>
      <c r="H26" s="933">
        <f>F26*E26</f>
        <v>599.99</v>
      </c>
      <c r="I26" s="950">
        <f t="shared" si="5"/>
        <v>700.78832</v>
      </c>
      <c r="J26" s="946">
        <f t="shared" si="1"/>
        <v>1.473161617116459E-3</v>
      </c>
      <c r="K26" s="946">
        <f t="shared" si="4"/>
        <v>0.99863271136231657</v>
      </c>
      <c r="L26" s="931" t="s">
        <v>2319</v>
      </c>
    </row>
    <row r="27" spans="1:15" ht="21" customHeight="1">
      <c r="A27" s="942">
        <v>13458</v>
      </c>
      <c r="B27" s="947" t="s">
        <v>67</v>
      </c>
      <c r="C27" s="948" t="s">
        <v>1429</v>
      </c>
      <c r="D27" s="942" t="s">
        <v>55</v>
      </c>
      <c r="E27" s="949">
        <f>'MEMORIAL DE CALCULO'!H3201</f>
        <v>1</v>
      </c>
      <c r="F27" s="931">
        <v>323.89999999999998</v>
      </c>
      <c r="G27" s="933">
        <f t="shared" si="0"/>
        <v>378.31519999999995</v>
      </c>
      <c r="H27" s="933">
        <f>F27*E27</f>
        <v>323.89999999999998</v>
      </c>
      <c r="I27" s="950">
        <f t="shared" si="5"/>
        <v>378.31519999999995</v>
      </c>
      <c r="J27" s="946">
        <f t="shared" si="1"/>
        <v>7.9527500089004988E-4</v>
      </c>
      <c r="K27" s="946">
        <f t="shared" si="4"/>
        <v>0.99942798636320662</v>
      </c>
      <c r="L27" s="931" t="s">
        <v>2319</v>
      </c>
    </row>
    <row r="28" spans="1:15" ht="19.899999999999999" customHeight="1">
      <c r="A28" s="942" t="str">
        <f>'COTAÇÕES EQUIPAMENTOS'!A47:H47</f>
        <v>MERC04/09</v>
      </c>
      <c r="B28" s="947"/>
      <c r="C28" s="948" t="s">
        <v>1431</v>
      </c>
      <c r="D28" s="942" t="s">
        <v>55</v>
      </c>
      <c r="E28" s="949">
        <f>'MEMORIAL DE CALCULO'!H3203</f>
        <v>1</v>
      </c>
      <c r="F28" s="931">
        <v>126.48</v>
      </c>
      <c r="G28" s="933">
        <f t="shared" si="0"/>
        <v>147.72863999999998</v>
      </c>
      <c r="H28" s="933">
        <f>F28*E28</f>
        <v>126.48</v>
      </c>
      <c r="I28" s="950">
        <f t="shared" si="5"/>
        <v>147.72863999999998</v>
      </c>
      <c r="J28" s="946">
        <f t="shared" si="1"/>
        <v>3.1054764468222757E-4</v>
      </c>
      <c r="K28" s="946">
        <f t="shared" si="4"/>
        <v>0.99973853400788881</v>
      </c>
      <c r="L28" s="931" t="s">
        <v>2319</v>
      </c>
    </row>
    <row r="29" spans="1:15" s="1" customFormat="1" ht="18" customHeight="1">
      <c r="A29" s="942" t="str">
        <f>'COTAÇÕES EQUIPAMENTOS'!A52:H52</f>
        <v>MERC04/10</v>
      </c>
      <c r="B29" s="947"/>
      <c r="C29" s="948" t="s">
        <v>1433</v>
      </c>
      <c r="D29" s="942" t="s">
        <v>55</v>
      </c>
      <c r="E29" s="949">
        <f>'MEMORIAL DE CALCULO'!H3205</f>
        <v>2</v>
      </c>
      <c r="F29" s="931">
        <v>42.67</v>
      </c>
      <c r="G29" s="933">
        <f t="shared" si="0"/>
        <v>49.838560000000001</v>
      </c>
      <c r="H29" s="933">
        <f>F29*E29</f>
        <v>85.34</v>
      </c>
      <c r="I29" s="950">
        <f t="shared" si="5"/>
        <v>99.677120000000002</v>
      </c>
      <c r="J29" s="946">
        <f t="shared" si="1"/>
        <v>2.0953617961085786E-4</v>
      </c>
      <c r="K29" s="946">
        <f t="shared" si="4"/>
        <v>0.99994807018749965</v>
      </c>
      <c r="L29" s="931" t="s">
        <v>2319</v>
      </c>
    </row>
    <row r="30" spans="1:15" ht="28.5" customHeight="1">
      <c r="A30" s="942">
        <v>11419</v>
      </c>
      <c r="B30" s="947" t="s">
        <v>67</v>
      </c>
      <c r="C30" s="948" t="s">
        <v>1396</v>
      </c>
      <c r="D30" s="942" t="s">
        <v>55</v>
      </c>
      <c r="E30" s="949">
        <f>'MEMORIAL DE CALCULO'!H3171</f>
        <v>1</v>
      </c>
      <c r="F30" s="931">
        <v>21.15</v>
      </c>
      <c r="G30" s="933">
        <f t="shared" si="0"/>
        <v>24.703199999999995</v>
      </c>
      <c r="H30" s="933">
        <f>E30*F30</f>
        <v>21.15</v>
      </c>
      <c r="I30" s="951">
        <f>E30*G30</f>
        <v>24.703199999999995</v>
      </c>
      <c r="J30" s="946">
        <f t="shared" si="1"/>
        <v>5.1929812500230172E-5</v>
      </c>
      <c r="K30" s="946">
        <f t="shared" si="4"/>
        <v>0.99999999999999989</v>
      </c>
      <c r="L30" s="931" t="s">
        <v>2319</v>
      </c>
    </row>
    <row r="31" spans="1:15" s="5" customFormat="1">
      <c r="C31" s="78"/>
      <c r="D31" s="78"/>
      <c r="E31" s="10"/>
      <c r="F31" s="78"/>
      <c r="G31" s="78"/>
      <c r="H31" s="78"/>
      <c r="I31" s="104"/>
      <c r="J31" s="104"/>
      <c r="K31" s="104"/>
      <c r="M31" s="2"/>
      <c r="N31" s="2"/>
      <c r="O31" s="2"/>
    </row>
    <row r="32" spans="1:15" s="5" customFormat="1">
      <c r="C32" s="78"/>
      <c r="D32" s="78"/>
      <c r="E32" s="10"/>
      <c r="F32" s="78"/>
      <c r="G32" s="78"/>
      <c r="H32" s="78"/>
      <c r="I32" s="104"/>
      <c r="J32" s="104"/>
      <c r="K32" s="104"/>
      <c r="M32" s="2"/>
      <c r="N32" s="2"/>
      <c r="O32" s="2"/>
    </row>
    <row r="33" spans="3:15" s="5" customFormat="1">
      <c r="C33" s="78"/>
      <c r="D33" s="78"/>
      <c r="E33" s="10"/>
      <c r="F33" s="78"/>
      <c r="G33" s="78"/>
      <c r="H33" s="78"/>
      <c r="I33" s="104"/>
      <c r="J33" s="104"/>
      <c r="K33" s="104"/>
      <c r="M33" s="2"/>
      <c r="N33" s="2"/>
      <c r="O33" s="2"/>
    </row>
    <row r="34" spans="3:15" s="5" customFormat="1">
      <c r="C34" s="78"/>
      <c r="D34" s="78"/>
      <c r="E34" s="10"/>
      <c r="F34" s="78"/>
      <c r="G34" s="78"/>
      <c r="H34" s="78"/>
      <c r="I34" s="104"/>
      <c r="J34" s="104"/>
      <c r="K34" s="104"/>
      <c r="M34" s="2"/>
      <c r="N34" s="2"/>
      <c r="O34" s="2"/>
    </row>
    <row r="35" spans="3:15" s="5" customFormat="1">
      <c r="C35" s="78"/>
      <c r="D35" s="78"/>
      <c r="E35" s="10"/>
      <c r="F35" s="78"/>
      <c r="G35" s="78"/>
      <c r="H35" s="78"/>
      <c r="I35" s="104"/>
      <c r="J35" s="104"/>
      <c r="K35" s="104"/>
      <c r="M35" s="2"/>
      <c r="N35" s="2"/>
      <c r="O35" s="2"/>
    </row>
    <row r="36" spans="3:15" s="5" customFormat="1">
      <c r="C36" s="78"/>
      <c r="D36" s="78"/>
      <c r="E36" s="10"/>
      <c r="F36" s="78"/>
      <c r="G36" s="78"/>
      <c r="H36" s="78"/>
      <c r="I36" s="104"/>
      <c r="J36" s="104"/>
      <c r="K36" s="104"/>
      <c r="M36" s="2"/>
      <c r="N36" s="2"/>
      <c r="O36" s="2"/>
    </row>
    <row r="37" spans="3:15" s="5" customFormat="1">
      <c r="C37" s="78"/>
      <c r="D37" s="78"/>
      <c r="E37" s="10"/>
      <c r="F37" s="78"/>
      <c r="G37" s="78"/>
      <c r="H37" s="78"/>
      <c r="I37" s="104"/>
      <c r="J37" s="104"/>
      <c r="K37" s="104"/>
      <c r="M37" s="2"/>
      <c r="N37" s="2"/>
      <c r="O37" s="2"/>
    </row>
    <row r="38" spans="3:15" s="5" customFormat="1">
      <c r="C38" s="78"/>
      <c r="D38" s="78"/>
      <c r="E38" s="10"/>
      <c r="F38" s="78"/>
      <c r="G38" s="78"/>
      <c r="H38" s="78"/>
      <c r="I38" s="104"/>
      <c r="J38" s="104"/>
      <c r="K38" s="104"/>
      <c r="M38" s="2"/>
      <c r="N38" s="2"/>
      <c r="O38" s="2"/>
    </row>
    <row r="39" spans="3:15" s="5" customFormat="1">
      <c r="C39" s="78"/>
      <c r="D39" s="78"/>
      <c r="E39" s="10"/>
      <c r="F39" s="78"/>
      <c r="G39" s="78"/>
      <c r="H39" s="78"/>
      <c r="I39" s="104"/>
      <c r="J39" s="104"/>
      <c r="K39" s="104"/>
      <c r="M39" s="2"/>
      <c r="N39" s="2"/>
      <c r="O39" s="2"/>
    </row>
    <row r="40" spans="3:15" s="5" customFormat="1">
      <c r="C40" s="78"/>
      <c r="D40" s="78"/>
      <c r="E40" s="10"/>
      <c r="F40" s="78"/>
      <c r="G40" s="78"/>
      <c r="H40" s="78"/>
      <c r="I40" s="104"/>
      <c r="J40" s="104"/>
      <c r="K40" s="104"/>
      <c r="M40" s="2"/>
      <c r="N40" s="2"/>
      <c r="O40" s="2"/>
    </row>
    <row r="41" spans="3:15" s="5" customFormat="1">
      <c r="C41" s="78"/>
      <c r="D41" s="78"/>
      <c r="E41" s="10"/>
      <c r="F41" s="78"/>
      <c r="G41" s="78"/>
      <c r="H41" s="78"/>
      <c r="I41" s="104"/>
      <c r="J41" s="104"/>
      <c r="K41" s="104"/>
      <c r="M41" s="2"/>
      <c r="N41" s="2"/>
      <c r="O41" s="2"/>
    </row>
    <row r="42" spans="3:15" s="5" customFormat="1">
      <c r="C42" s="78"/>
      <c r="D42" s="78"/>
      <c r="E42" s="10"/>
      <c r="F42" s="78"/>
      <c r="G42" s="78"/>
      <c r="H42" s="78"/>
      <c r="I42" s="104"/>
      <c r="J42" s="104"/>
      <c r="K42" s="104"/>
      <c r="M42" s="2"/>
      <c r="N42" s="2"/>
      <c r="O42" s="2"/>
    </row>
    <row r="43" spans="3:15" s="5" customFormat="1">
      <c r="C43" s="78"/>
      <c r="D43" s="78"/>
      <c r="E43" s="10"/>
      <c r="F43" s="78"/>
      <c r="G43" s="78"/>
      <c r="H43" s="78"/>
      <c r="I43" s="104"/>
      <c r="J43" s="104"/>
      <c r="K43" s="104"/>
      <c r="M43" s="2"/>
      <c r="N43" s="2"/>
      <c r="O43" s="2"/>
    </row>
    <row r="44" spans="3:15" s="5" customFormat="1">
      <c r="C44" s="78"/>
      <c r="D44" s="78"/>
      <c r="E44" s="10"/>
      <c r="F44" s="78"/>
      <c r="G44" s="78"/>
      <c r="H44" s="78"/>
      <c r="I44" s="104"/>
      <c r="J44" s="104"/>
      <c r="K44" s="104"/>
      <c r="M44" s="2"/>
      <c r="N44" s="2"/>
      <c r="O44" s="2"/>
    </row>
    <row r="45" spans="3:15" s="5" customFormat="1">
      <c r="C45" s="78"/>
      <c r="D45" s="78"/>
      <c r="E45" s="10"/>
      <c r="F45" s="78"/>
      <c r="G45" s="78"/>
      <c r="H45" s="78"/>
      <c r="I45" s="104"/>
      <c r="J45" s="104"/>
      <c r="K45" s="104"/>
      <c r="M45" s="2"/>
      <c r="N45" s="2"/>
      <c r="O45" s="2"/>
    </row>
    <row r="46" spans="3:15" s="5" customFormat="1">
      <c r="C46" s="78"/>
      <c r="D46" s="78"/>
      <c r="E46" s="10"/>
      <c r="F46" s="78"/>
      <c r="G46" s="78"/>
      <c r="H46" s="78"/>
      <c r="I46" s="104"/>
      <c r="J46" s="104"/>
      <c r="K46" s="104"/>
      <c r="M46" s="2"/>
      <c r="N46" s="2"/>
      <c r="O46" s="2"/>
    </row>
    <row r="47" spans="3:15" s="5" customFormat="1">
      <c r="C47" s="78"/>
      <c r="D47" s="78"/>
      <c r="E47" s="10"/>
      <c r="F47" s="78"/>
      <c r="G47" s="78"/>
      <c r="H47" s="78"/>
      <c r="I47" s="104"/>
      <c r="J47" s="104"/>
      <c r="K47" s="104"/>
      <c r="M47" s="2"/>
      <c r="N47" s="2"/>
      <c r="O47" s="2"/>
    </row>
    <row r="48" spans="3:15" s="5" customFormat="1">
      <c r="C48" s="78"/>
      <c r="D48" s="78"/>
      <c r="E48" s="10"/>
      <c r="F48" s="78"/>
      <c r="G48" s="78"/>
      <c r="H48" s="78"/>
      <c r="I48" s="104"/>
      <c r="J48" s="104"/>
      <c r="K48" s="104"/>
      <c r="M48" s="2"/>
      <c r="N48" s="2"/>
      <c r="O48" s="2"/>
    </row>
    <row r="49" spans="3:15" s="5" customFormat="1">
      <c r="C49" s="78"/>
      <c r="D49" s="78"/>
      <c r="E49" s="10"/>
      <c r="F49" s="78"/>
      <c r="G49" s="78"/>
      <c r="H49" s="78"/>
      <c r="I49" s="104"/>
      <c r="J49" s="104"/>
      <c r="K49" s="104"/>
      <c r="M49" s="2"/>
      <c r="N49" s="2"/>
      <c r="O49" s="2"/>
    </row>
    <row r="50" spans="3:15" s="5" customFormat="1">
      <c r="C50" s="78"/>
      <c r="D50" s="78"/>
      <c r="E50" s="10"/>
      <c r="F50" s="78"/>
      <c r="G50" s="78"/>
      <c r="H50" s="78"/>
      <c r="I50" s="104"/>
      <c r="J50" s="104"/>
      <c r="K50" s="104"/>
      <c r="M50" s="2"/>
      <c r="N50" s="2"/>
      <c r="O50" s="2"/>
    </row>
    <row r="51" spans="3:15" s="5" customFormat="1">
      <c r="C51" s="78"/>
      <c r="D51" s="78"/>
      <c r="E51" s="10"/>
      <c r="F51" s="78"/>
      <c r="G51" s="78"/>
      <c r="H51" s="78"/>
      <c r="I51" s="104"/>
      <c r="J51" s="104"/>
      <c r="K51" s="104"/>
      <c r="M51" s="2"/>
      <c r="N51" s="2"/>
      <c r="O51" s="2"/>
    </row>
    <row r="52" spans="3:15" s="5" customFormat="1">
      <c r="C52" s="78"/>
      <c r="D52" s="78"/>
      <c r="E52" s="10"/>
      <c r="F52" s="78"/>
      <c r="G52" s="78"/>
      <c r="H52" s="78"/>
      <c r="I52" s="104"/>
      <c r="J52" s="104"/>
      <c r="K52" s="104"/>
      <c r="M52" s="2"/>
      <c r="N52" s="2"/>
      <c r="O52" s="2"/>
    </row>
    <row r="53" spans="3:15" s="5" customFormat="1">
      <c r="C53" s="78"/>
      <c r="D53" s="78"/>
      <c r="E53" s="10"/>
      <c r="F53" s="78"/>
      <c r="G53" s="78"/>
      <c r="H53" s="78"/>
      <c r="I53" s="104"/>
      <c r="J53" s="104"/>
      <c r="K53" s="104"/>
      <c r="M53" s="2"/>
      <c r="N53" s="2"/>
      <c r="O53" s="2"/>
    </row>
    <row r="54" spans="3:15" s="5" customFormat="1">
      <c r="C54" s="78"/>
      <c r="D54" s="78"/>
      <c r="E54" s="10"/>
      <c r="F54" s="78"/>
      <c r="G54" s="78"/>
      <c r="H54" s="78"/>
      <c r="I54" s="104"/>
      <c r="J54" s="104"/>
      <c r="K54" s="104"/>
      <c r="M54" s="2"/>
      <c r="N54" s="2"/>
      <c r="O54" s="2"/>
    </row>
    <row r="55" spans="3:15" s="5" customFormat="1">
      <c r="C55" s="78"/>
      <c r="D55" s="78"/>
      <c r="E55" s="10"/>
      <c r="F55" s="78"/>
      <c r="G55" s="78"/>
      <c r="H55" s="78"/>
      <c r="I55" s="104"/>
      <c r="J55" s="104"/>
      <c r="K55" s="104"/>
      <c r="M55" s="2"/>
      <c r="N55" s="2"/>
      <c r="O55" s="2"/>
    </row>
    <row r="56" spans="3:15" s="5" customFormat="1">
      <c r="C56" s="78"/>
      <c r="D56" s="78"/>
      <c r="E56" s="10"/>
      <c r="F56" s="78"/>
      <c r="G56" s="78"/>
      <c r="H56" s="78"/>
      <c r="I56" s="104"/>
      <c r="J56" s="104"/>
      <c r="K56" s="104"/>
      <c r="M56" s="2"/>
      <c r="N56" s="2"/>
      <c r="O56" s="2"/>
    </row>
    <row r="57" spans="3:15" s="5" customFormat="1">
      <c r="C57" s="78"/>
      <c r="D57" s="78"/>
      <c r="E57" s="10"/>
      <c r="F57" s="78"/>
      <c r="G57" s="78"/>
      <c r="H57" s="78"/>
      <c r="I57" s="104"/>
      <c r="J57" s="104"/>
      <c r="K57" s="104"/>
      <c r="M57" s="2"/>
      <c r="N57" s="2"/>
      <c r="O57" s="2"/>
    </row>
    <row r="58" spans="3:15" s="5" customFormat="1">
      <c r="C58" s="78"/>
      <c r="D58" s="78"/>
      <c r="E58" s="10"/>
      <c r="F58" s="78"/>
      <c r="G58" s="78"/>
      <c r="H58" s="78"/>
      <c r="I58" s="104"/>
      <c r="J58" s="104"/>
      <c r="K58" s="104"/>
      <c r="M58" s="2"/>
      <c r="N58" s="2"/>
      <c r="O58" s="2"/>
    </row>
    <row r="59" spans="3:15" s="5" customFormat="1">
      <c r="C59" s="78"/>
      <c r="D59" s="78"/>
      <c r="E59" s="10"/>
      <c r="F59" s="78"/>
      <c r="G59" s="78"/>
      <c r="H59" s="78"/>
      <c r="I59" s="104"/>
      <c r="J59" s="104"/>
      <c r="K59" s="104"/>
      <c r="M59" s="2"/>
      <c r="N59" s="2"/>
      <c r="O59" s="2"/>
    </row>
    <row r="60" spans="3:15" s="5" customFormat="1">
      <c r="C60" s="78"/>
      <c r="D60" s="78"/>
      <c r="E60" s="10"/>
      <c r="F60" s="78"/>
      <c r="G60" s="78"/>
      <c r="H60" s="78"/>
      <c r="I60" s="104"/>
      <c r="J60" s="104"/>
      <c r="K60" s="104"/>
      <c r="M60" s="2"/>
      <c r="N60" s="2"/>
      <c r="O60" s="2"/>
    </row>
    <row r="61" spans="3:15" s="5" customFormat="1">
      <c r="C61" s="78"/>
      <c r="D61" s="78"/>
      <c r="E61" s="10"/>
      <c r="F61" s="78"/>
      <c r="G61" s="78"/>
      <c r="H61" s="78"/>
      <c r="I61" s="104"/>
      <c r="J61" s="104"/>
      <c r="K61" s="104"/>
      <c r="M61" s="2"/>
      <c r="N61" s="2"/>
      <c r="O61" s="2"/>
    </row>
    <row r="62" spans="3:15" s="5" customFormat="1">
      <c r="C62" s="78"/>
      <c r="D62" s="78"/>
      <c r="E62" s="10"/>
      <c r="F62" s="78"/>
      <c r="G62" s="78"/>
      <c r="H62" s="78"/>
      <c r="I62" s="104"/>
      <c r="J62" s="104"/>
      <c r="K62" s="104"/>
      <c r="M62" s="2"/>
      <c r="N62" s="2"/>
      <c r="O62" s="2"/>
    </row>
    <row r="63" spans="3:15" s="5" customFormat="1">
      <c r="C63" s="78"/>
      <c r="D63" s="78"/>
      <c r="E63" s="10"/>
      <c r="F63" s="78"/>
      <c r="G63" s="78"/>
      <c r="H63" s="78"/>
      <c r="I63" s="104"/>
      <c r="J63" s="104"/>
      <c r="K63" s="104"/>
      <c r="M63" s="2"/>
      <c r="N63" s="2"/>
      <c r="O63" s="2"/>
    </row>
    <row r="64" spans="3:15" s="5" customFormat="1">
      <c r="C64" s="78"/>
      <c r="D64" s="78"/>
      <c r="E64" s="10"/>
      <c r="F64" s="78"/>
      <c r="G64" s="78"/>
      <c r="H64" s="78"/>
      <c r="I64" s="104"/>
      <c r="J64" s="104"/>
      <c r="K64" s="104"/>
      <c r="M64" s="2"/>
      <c r="N64" s="2"/>
      <c r="O64" s="2"/>
    </row>
    <row r="65" spans="3:15" s="5" customFormat="1">
      <c r="C65" s="78"/>
      <c r="D65" s="78"/>
      <c r="E65" s="10"/>
      <c r="F65" s="78"/>
      <c r="G65" s="78"/>
      <c r="H65" s="78"/>
      <c r="I65" s="104"/>
      <c r="J65" s="104"/>
      <c r="K65" s="104"/>
      <c r="M65" s="2"/>
      <c r="N65" s="2"/>
      <c r="O65" s="2"/>
    </row>
    <row r="66" spans="3:15" s="5" customFormat="1">
      <c r="C66" s="78"/>
      <c r="D66" s="78"/>
      <c r="E66" s="10"/>
      <c r="F66" s="78"/>
      <c r="G66" s="78"/>
      <c r="H66" s="78"/>
      <c r="I66" s="104"/>
      <c r="J66" s="104"/>
      <c r="K66" s="104"/>
      <c r="M66" s="2"/>
      <c r="N66" s="2"/>
      <c r="O66" s="2"/>
    </row>
    <row r="67" spans="3:15" s="5" customFormat="1">
      <c r="C67" s="78"/>
      <c r="D67" s="78"/>
      <c r="E67" s="10"/>
      <c r="F67" s="78"/>
      <c r="G67" s="78"/>
      <c r="H67" s="78"/>
      <c r="I67" s="104"/>
      <c r="J67" s="104"/>
      <c r="K67" s="104"/>
      <c r="M67" s="2"/>
      <c r="N67" s="2"/>
      <c r="O67" s="2"/>
    </row>
    <row r="68" spans="3:15" s="5" customFormat="1">
      <c r="C68" s="78"/>
      <c r="D68" s="78"/>
      <c r="E68" s="10"/>
      <c r="F68" s="78"/>
      <c r="G68" s="78"/>
      <c r="H68" s="78"/>
      <c r="I68" s="104"/>
      <c r="J68" s="104"/>
      <c r="K68" s="104"/>
      <c r="M68" s="2"/>
      <c r="N68" s="2"/>
      <c r="O68" s="2"/>
    </row>
    <row r="69" spans="3:15" s="5" customFormat="1">
      <c r="C69" s="78"/>
      <c r="D69" s="78"/>
      <c r="E69" s="10"/>
      <c r="F69" s="78"/>
      <c r="G69" s="78"/>
      <c r="H69" s="78"/>
      <c r="I69" s="104"/>
      <c r="J69" s="104"/>
      <c r="K69" s="104"/>
      <c r="M69" s="2"/>
      <c r="N69" s="2"/>
      <c r="O69" s="2"/>
    </row>
  </sheetData>
  <sheetProtection password="8D0B" sheet="1" objects="1" scenarios="1" selectLockedCells="1" selectUnlockedCells="1"/>
  <sortState ref="A2:L30">
    <sortCondition descending="1" ref="J2:J30"/>
  </sortState>
  <printOptions horizontalCentered="1"/>
  <pageMargins left="0.43307086614173229" right="0.43307086614173229" top="0.55118110236220474" bottom="0.55118110236220474" header="0.51181102362204722" footer="0.31496062992125984"/>
  <pageSetup paperSize="9" scale="37" firstPageNumber="0" orientation="portrait" verticalDpi="597" r:id="rId1"/>
  <headerFooter alignWithMargins="0">
    <oddFooter>&amp;CTv. Osman Lordelo Guimarães, Quadra F, Lote 14 – Centro – Lauro de Freitas – Ba, CEP 42.700-000 – Tel. (71) 3797-2130 – CNPJ  32.690.778/0001-66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:H6"/>
  <sheetViews>
    <sheetView view="pageBreakPreview" zoomScale="77" zoomScaleSheetLayoutView="77" workbookViewId="0">
      <selection sqref="A1:XFD1048576"/>
    </sheetView>
  </sheetViews>
  <sheetFormatPr defaultColWidth="9" defaultRowHeight="15"/>
  <cols>
    <col min="1" max="1" width="14.42578125" customWidth="1"/>
    <col min="2" max="2" width="14.28515625" customWidth="1"/>
    <col min="3" max="3" width="15.140625" customWidth="1"/>
    <col min="4" max="4" width="13" customWidth="1"/>
    <col min="5" max="5" width="14" customWidth="1"/>
    <col min="6" max="6" width="15.140625" customWidth="1"/>
    <col min="7" max="7" width="12.42578125" customWidth="1"/>
    <col min="8" max="8" width="12.140625" customWidth="1"/>
  </cols>
  <sheetData>
    <row r="1" spans="1:8" ht="15" customHeight="1">
      <c r="A1" s="1155" t="s">
        <v>2621</v>
      </c>
      <c r="B1" s="1155"/>
      <c r="C1" s="1155"/>
      <c r="D1" s="1155"/>
      <c r="E1" s="1155"/>
      <c r="F1" s="1155"/>
      <c r="G1" s="1155"/>
      <c r="H1" s="1155"/>
    </row>
    <row r="2" spans="1:8" ht="45" customHeight="1">
      <c r="A2" s="521" t="s">
        <v>2622</v>
      </c>
      <c r="B2" s="1156" t="s">
        <v>2623</v>
      </c>
      <c r="C2" s="1156"/>
      <c r="D2" s="1156"/>
      <c r="E2" s="1156"/>
      <c r="F2" s="1156"/>
      <c r="G2" s="1156"/>
      <c r="H2" s="522" t="s">
        <v>2624</v>
      </c>
    </row>
    <row r="3" spans="1:8" ht="15" customHeight="1">
      <c r="A3" s="523" t="s">
        <v>2625</v>
      </c>
      <c r="B3" s="1157" t="s">
        <v>2626</v>
      </c>
      <c r="C3" s="1157"/>
      <c r="D3" s="1157"/>
      <c r="E3" s="1157"/>
      <c r="F3" s="1157"/>
      <c r="G3" s="1157"/>
      <c r="H3" s="524">
        <v>190600</v>
      </c>
    </row>
    <row r="4" spans="1:8" ht="15" customHeight="1">
      <c r="A4" s="523" t="s">
        <v>2627</v>
      </c>
      <c r="B4" s="1158" t="s">
        <v>2628</v>
      </c>
      <c r="C4" s="1158"/>
      <c r="D4" s="1158"/>
      <c r="E4" s="1158"/>
      <c r="F4" s="1158"/>
      <c r="G4" s="1158"/>
      <c r="H4" s="525">
        <v>180000</v>
      </c>
    </row>
    <row r="5" spans="1:8" ht="15" customHeight="1">
      <c r="A5" s="523" t="s">
        <v>2629</v>
      </c>
      <c r="B5" s="1158"/>
      <c r="C5" s="1158"/>
      <c r="D5" s="1158"/>
      <c r="E5" s="1158"/>
      <c r="F5" s="1158"/>
      <c r="G5" s="1158"/>
      <c r="H5" s="525"/>
    </row>
    <row r="6" spans="1:8" ht="15" customHeight="1">
      <c r="A6" s="526"/>
      <c r="B6" s="1155" t="s">
        <v>2630</v>
      </c>
      <c r="C6" s="1155"/>
      <c r="D6" s="1155"/>
      <c r="E6" s="1155"/>
      <c r="F6" s="1155"/>
      <c r="G6" s="1155"/>
      <c r="H6" s="527">
        <f>SMALL(H3:H5,1)</f>
        <v>180000</v>
      </c>
    </row>
  </sheetData>
  <sheetProtection password="8D0B" sheet="1" objects="1" scenarios="1" selectLockedCells="1" selectUnlockedCells="1"/>
  <mergeCells count="6">
    <mergeCell ref="B6:G6"/>
    <mergeCell ref="A1:H1"/>
    <mergeCell ref="B2:G2"/>
    <mergeCell ref="B3:G3"/>
    <mergeCell ref="B4:G4"/>
    <mergeCell ref="B5:G5"/>
  </mergeCells>
  <pageMargins left="0.51180555555555551" right="0.51180555555555551" top="0.78749999999999998" bottom="0.78749999999999998" header="0.51180555555555551" footer="0.51180555555555551"/>
  <pageSetup paperSize="9" scale="80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12</vt:i4>
      </vt:variant>
      <vt:variant>
        <vt:lpstr>Intervalos nomeados</vt:lpstr>
      </vt:variant>
      <vt:variant>
        <vt:i4>21</vt:i4>
      </vt:variant>
    </vt:vector>
  </HeadingPairs>
  <TitlesOfParts>
    <vt:vector size="33" baseType="lpstr">
      <vt:lpstr>ORÇAMENTO</vt:lpstr>
      <vt:lpstr>MEMORIAL DE CALCULO</vt:lpstr>
      <vt:lpstr>CRONOGRAMA CIVIL</vt:lpstr>
      <vt:lpstr>CRONOGRAMA EQUIP.</vt:lpstr>
      <vt:lpstr>COMP. GERAL</vt:lpstr>
      <vt:lpstr>COMP. ELÉTRICA</vt:lpstr>
      <vt:lpstr>CURVA ABC - CIVIL</vt:lpstr>
      <vt:lpstr>CURVA ABC - EQUIP.</vt:lpstr>
      <vt:lpstr>COTAÇÕES ESQUADRIAS</vt:lpstr>
      <vt:lpstr>COTAÇÃO CIVIL</vt:lpstr>
      <vt:lpstr>COTAÇÃO SINALIZAÇÃO</vt:lpstr>
      <vt:lpstr>COTAÇÕES EQUIPAMENTOS</vt:lpstr>
      <vt:lpstr>'COMP. ELÉTRICA'!Area_de_impressao</vt:lpstr>
      <vt:lpstr>'COMP. GERAL'!Area_de_impressao</vt:lpstr>
      <vt:lpstr>'COTAÇÃO CIVIL'!Area_de_impressao</vt:lpstr>
      <vt:lpstr>'COTAÇÕES EQUIPAMENTOS'!Area_de_impressao</vt:lpstr>
      <vt:lpstr>'COTAÇÕES ESQUADRIAS'!Area_de_impressao</vt:lpstr>
      <vt:lpstr>'CRONOGRAMA CIVIL'!Area_de_impressao</vt:lpstr>
      <vt:lpstr>'CRONOGRAMA EQUIP.'!Area_de_impressao</vt:lpstr>
      <vt:lpstr>'CURVA ABC - CIVIL'!Area_de_impressao</vt:lpstr>
      <vt:lpstr>'CURVA ABC - EQUIP.'!Area_de_impressao</vt:lpstr>
      <vt:lpstr>'MEMORIAL DE CALCULO'!Area_de_impressao</vt:lpstr>
      <vt:lpstr>ORÇAMENTO!Area_de_impressao</vt:lpstr>
      <vt:lpstr>'CURVA ABC - CIVIL'!Excel_BuiltIn_Print_Area</vt:lpstr>
      <vt:lpstr>'CURVA ABC - EQUIP.'!Excel_BuiltIn_Print_Area</vt:lpstr>
      <vt:lpstr>ORÇAMENTO!Excel_BuiltIn_Print_Area</vt:lpstr>
      <vt:lpstr>'COMP. ELÉTRICA'!Titulos_de_impressao</vt:lpstr>
      <vt:lpstr>'COMP. GERAL'!Titulos_de_impressao</vt:lpstr>
      <vt:lpstr>'CRONOGRAMA CIVIL'!Titulos_de_impressao</vt:lpstr>
      <vt:lpstr>'CURVA ABC - CIVIL'!Titulos_de_impressao</vt:lpstr>
      <vt:lpstr>'CURVA ABC - EQUIP.'!Titulos_de_impressao</vt:lpstr>
      <vt:lpstr>'MEMORIAL DE CALCULO'!Titulos_de_impressao</vt:lpstr>
      <vt:lpstr>ORÇAMENTO!Titulos_de_impressao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Filho</dc:creator>
  <cp:lastModifiedBy>andremalta</cp:lastModifiedBy>
  <cp:revision/>
  <dcterms:created xsi:type="dcterms:W3CDTF">2023-06-06T23:45:20Z</dcterms:created>
  <dcterms:modified xsi:type="dcterms:W3CDTF">2023-11-29T21:21:58Z</dcterms:modified>
</cp:coreProperties>
</file>