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V:\Planilhas\2020\AL\TJ AL PE 41.2020\PROPOSTA\01\"/>
    </mc:Choice>
  </mc:AlternateContent>
  <xr:revisionPtr revIDLastSave="0" documentId="13_ncr:1_{6DDBD728-7043-4AFC-A194-C9D1CC749959}" xr6:coauthVersionLast="45" xr6:coauthVersionMax="45" xr10:uidLastSave="{00000000-0000-0000-0000-000000000000}"/>
  <bookViews>
    <workbookView xWindow="-120" yWindow="-120" windowWidth="20700" windowHeight="11160" tabRatio="934" firstSheet="16" activeTab="17" xr2:uid="{00000000-000D-0000-FFFF-FFFF00000000}"/>
  </bookViews>
  <sheets>
    <sheet name="ASG INT CAPI" sheetId="10" r:id="rId1"/>
    <sheet name="ASG EXT CAPI" sheetId="49" r:id="rId2"/>
    <sheet name="ASG HOSP CAPI" sheetId="50" r:id="rId3"/>
    <sheet name="ASG BANH CAPI" sheetId="51" r:id="rId4"/>
    <sheet name="ASG ESQU CAPI" sheetId="52" r:id="rId5"/>
    <sheet name="ASG AJARDI CAPI" sheetId="53" r:id="rId6"/>
    <sheet name="ASG INT INTE" sheetId="61" r:id="rId7"/>
    <sheet name="ASG EXTE INT" sheetId="62" r:id="rId8"/>
    <sheet name="ASG BANHE INT" sheetId="64" r:id="rId9"/>
    <sheet name="ASG ESQU INT" sheetId="65" r:id="rId10"/>
    <sheet name="ASG AJARDI INT" sheetId="66" r:id="rId11"/>
    <sheet name="ENCARREGADO" sheetId="48" r:id="rId12"/>
    <sheet name="MOTORISTA" sheetId="33" r:id="rId13"/>
    <sheet name="ASG MUTI 01" sheetId="34" r:id="rId14"/>
    <sheet name="ASG MUTI 02" sheetId="59" r:id="rId15"/>
    <sheet name="KM RODADO" sheetId="41" r:id="rId16"/>
    <sheet name="DESLOC PERNOITE" sheetId="44" r:id="rId17"/>
    <sheet name="DESLOC S PERNOITE" sheetId="45" r:id="rId18"/>
    <sheet name="ASG FACHADA" sheetId="46" r:id="rId19"/>
    <sheet name="MULTIROES" sheetId="42" r:id="rId20"/>
    <sheet name="ANEXO VII" sheetId="47" r:id="rId21"/>
    <sheet name="ANEXO VIII" sheetId="32" r:id="rId22"/>
    <sheet name="UNIFORME" sheetId="55" r:id="rId23"/>
    <sheet name="MATERIAL" sheetId="56" r:id="rId24"/>
    <sheet name="MAT MUT 01" sheetId="57" r:id="rId25"/>
    <sheet name="MAT MUT 02" sheetId="60" r:id="rId26"/>
    <sheet name="Planilha2" sheetId="58" r:id="rId27"/>
  </sheets>
  <definedNames>
    <definedName name="_xlnm._FilterDatabase" localSheetId="24" hidden="1">'MAT MUT 01'!$A$2:$K$19</definedName>
    <definedName name="_xlnm._FilterDatabase" localSheetId="25" hidden="1">'MAT MUT 02'!$A$2:$K$19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2" i="47" l="1"/>
  <c r="C41" i="42" l="1"/>
  <c r="C22" i="42"/>
  <c r="C21" i="42"/>
  <c r="C20" i="42"/>
  <c r="C19" i="42"/>
  <c r="C18" i="42"/>
  <c r="C17" i="42"/>
  <c r="C16" i="42"/>
  <c r="C15" i="42"/>
  <c r="C14" i="42"/>
  <c r="C13" i="42"/>
  <c r="C12" i="42"/>
  <c r="C11" i="42"/>
  <c r="C10" i="42"/>
  <c r="D147" i="66"/>
  <c r="D146" i="66"/>
  <c r="G146" i="66" s="1"/>
  <c r="I138" i="66"/>
  <c r="B121" i="66"/>
  <c r="B119" i="66"/>
  <c r="B118" i="66"/>
  <c r="B117" i="66"/>
  <c r="B116" i="66"/>
  <c r="B115" i="66"/>
  <c r="H110" i="66"/>
  <c r="K107" i="66"/>
  <c r="K108" i="66" s="1"/>
  <c r="H106" i="66"/>
  <c r="I97" i="66"/>
  <c r="H85" i="66"/>
  <c r="H81" i="66"/>
  <c r="H66" i="66"/>
  <c r="I54" i="66"/>
  <c r="I60" i="66" s="1"/>
  <c r="I53" i="66"/>
  <c r="I52" i="66"/>
  <c r="I51" i="66"/>
  <c r="I50" i="66"/>
  <c r="H46" i="66"/>
  <c r="H34" i="66" s="1"/>
  <c r="H35" i="66"/>
  <c r="I23" i="66"/>
  <c r="I28" i="66" s="1"/>
  <c r="I21" i="66"/>
  <c r="I16" i="66"/>
  <c r="E147" i="65"/>
  <c r="D147" i="65"/>
  <c r="B147" i="65"/>
  <c r="E146" i="65"/>
  <c r="G146" i="65" s="1"/>
  <c r="D146" i="65"/>
  <c r="B146" i="65"/>
  <c r="I138" i="65"/>
  <c r="B121" i="65"/>
  <c r="B119" i="65"/>
  <c r="B118" i="65"/>
  <c r="B117" i="65"/>
  <c r="B116" i="65"/>
  <c r="B115" i="65"/>
  <c r="H110" i="65"/>
  <c r="K107" i="65"/>
  <c r="K108" i="65" s="1"/>
  <c r="H106" i="65"/>
  <c r="H85" i="65"/>
  <c r="H81" i="65"/>
  <c r="H66" i="65"/>
  <c r="I53" i="65"/>
  <c r="I52" i="65"/>
  <c r="I51" i="65"/>
  <c r="I50" i="65"/>
  <c r="H46" i="65"/>
  <c r="H69" i="65" s="1"/>
  <c r="H71" i="65" s="1"/>
  <c r="H35" i="65"/>
  <c r="H34" i="65"/>
  <c r="I21" i="65"/>
  <c r="I54" i="65" s="1"/>
  <c r="I60" i="65" s="1"/>
  <c r="I16" i="65"/>
  <c r="D147" i="64"/>
  <c r="D146" i="64"/>
  <c r="G146" i="64" s="1"/>
  <c r="I138" i="64"/>
  <c r="B121" i="64"/>
  <c r="B119" i="64"/>
  <c r="B118" i="64"/>
  <c r="B117" i="64"/>
  <c r="B116" i="64"/>
  <c r="B115" i="64"/>
  <c r="H110" i="64"/>
  <c r="K107" i="64"/>
  <c r="K108" i="64" s="1"/>
  <c r="H106" i="64"/>
  <c r="H85" i="64"/>
  <c r="H81" i="64"/>
  <c r="H66" i="64"/>
  <c r="I54" i="64"/>
  <c r="I60" i="64" s="1"/>
  <c r="I53" i="64"/>
  <c r="I52" i="64"/>
  <c r="I51" i="64"/>
  <c r="I50" i="64"/>
  <c r="H46" i="64"/>
  <c r="H34" i="64" s="1"/>
  <c r="H35" i="64"/>
  <c r="I23" i="64"/>
  <c r="I28" i="64" s="1"/>
  <c r="I21" i="64"/>
  <c r="I16" i="64"/>
  <c r="D147" i="62"/>
  <c r="D146" i="62"/>
  <c r="G146" i="62" s="1"/>
  <c r="I138" i="62"/>
  <c r="B121" i="62"/>
  <c r="B119" i="62"/>
  <c r="B118" i="62"/>
  <c r="B117" i="62"/>
  <c r="B116" i="62"/>
  <c r="B115" i="62"/>
  <c r="H110" i="62"/>
  <c r="K107" i="62"/>
  <c r="K108" i="62" s="1"/>
  <c r="H106" i="62"/>
  <c r="H85" i="62"/>
  <c r="H81" i="62"/>
  <c r="H66" i="62"/>
  <c r="I53" i="62"/>
  <c r="I52" i="62"/>
  <c r="I51" i="62"/>
  <c r="I50" i="62"/>
  <c r="H46" i="62"/>
  <c r="H34" i="62" s="1"/>
  <c r="H35" i="62"/>
  <c r="I23" i="62"/>
  <c r="I28" i="62" s="1"/>
  <c r="I21" i="62"/>
  <c r="I54" i="62" s="1"/>
  <c r="I60" i="62" s="1"/>
  <c r="I16" i="62"/>
  <c r="D148" i="61"/>
  <c r="D147" i="61"/>
  <c r="G147" i="61" s="1"/>
  <c r="I138" i="61"/>
  <c r="B121" i="61"/>
  <c r="B119" i="61"/>
  <c r="B118" i="61"/>
  <c r="B117" i="61"/>
  <c r="B116" i="61"/>
  <c r="B115" i="61"/>
  <c r="H110" i="61"/>
  <c r="K107" i="61"/>
  <c r="K108" i="61" s="1"/>
  <c r="H106" i="61"/>
  <c r="H85" i="61"/>
  <c r="H81" i="61"/>
  <c r="H69" i="61"/>
  <c r="H71" i="61" s="1"/>
  <c r="H66" i="61"/>
  <c r="I53" i="61"/>
  <c r="I52" i="61"/>
  <c r="I51" i="61"/>
  <c r="I50" i="61"/>
  <c r="I54" i="61"/>
  <c r="I60" i="61" s="1"/>
  <c r="H46" i="61"/>
  <c r="H35" i="61"/>
  <c r="H34" i="61"/>
  <c r="I21" i="61"/>
  <c r="I23" i="61" s="1"/>
  <c r="I28" i="61" s="1"/>
  <c r="I16" i="61"/>
  <c r="B147" i="52"/>
  <c r="B146" i="52"/>
  <c r="D147" i="51"/>
  <c r="D146" i="51"/>
  <c r="D147" i="50"/>
  <c r="D146" i="50"/>
  <c r="D147" i="49"/>
  <c r="D146" i="49"/>
  <c r="D148" i="10"/>
  <c r="D147" i="10"/>
  <c r="C147" i="46"/>
  <c r="I98" i="59"/>
  <c r="I97" i="59"/>
  <c r="G32" i="60"/>
  <c r="G27" i="57"/>
  <c r="G19" i="57"/>
  <c r="G31" i="60"/>
  <c r="G26" i="60"/>
  <c r="G27" i="60"/>
  <c r="G28" i="60"/>
  <c r="G29" i="60"/>
  <c r="G30" i="60"/>
  <c r="G25" i="60"/>
  <c r="G17" i="60"/>
  <c r="G16" i="60"/>
  <c r="G15" i="60"/>
  <c r="G14" i="60"/>
  <c r="G13" i="60"/>
  <c r="G12" i="60"/>
  <c r="G11" i="60"/>
  <c r="G10" i="60"/>
  <c r="G9" i="60"/>
  <c r="G8" i="60"/>
  <c r="G7" i="60"/>
  <c r="G6" i="60"/>
  <c r="G5" i="60"/>
  <c r="G4" i="60"/>
  <c r="G18" i="60" s="1"/>
  <c r="G19" i="60" s="1"/>
  <c r="G3" i="60"/>
  <c r="I138" i="59"/>
  <c r="B121" i="59"/>
  <c r="B119" i="59"/>
  <c r="B118" i="59"/>
  <c r="B117" i="59"/>
  <c r="B116" i="59"/>
  <c r="B115" i="59"/>
  <c r="H110" i="59"/>
  <c r="H106" i="59"/>
  <c r="K107" i="59" s="1"/>
  <c r="K108" i="59" s="1"/>
  <c r="H85" i="59"/>
  <c r="H81" i="59"/>
  <c r="H69" i="59"/>
  <c r="H66" i="59"/>
  <c r="H71" i="59" s="1"/>
  <c r="I53" i="59"/>
  <c r="I52" i="59"/>
  <c r="I51" i="59"/>
  <c r="I50" i="59"/>
  <c r="I49" i="59"/>
  <c r="I54" i="59" s="1"/>
  <c r="I60" i="59" s="1"/>
  <c r="H46" i="59"/>
  <c r="H35" i="59"/>
  <c r="H34" i="59"/>
  <c r="I21" i="59"/>
  <c r="I16" i="59"/>
  <c r="I98" i="34"/>
  <c r="I97" i="34"/>
  <c r="I66" i="64" l="1"/>
  <c r="I84" i="66"/>
  <c r="I85" i="66" s="1"/>
  <c r="I90" i="66" s="1"/>
  <c r="I75" i="66"/>
  <c r="I44" i="66"/>
  <c r="I78" i="66"/>
  <c r="I38" i="66"/>
  <c r="I45" i="66"/>
  <c r="I43" i="66"/>
  <c r="I34" i="66"/>
  <c r="I65" i="66"/>
  <c r="I42" i="66"/>
  <c r="I39" i="66"/>
  <c r="I77" i="66"/>
  <c r="I68" i="66"/>
  <c r="I76" i="66"/>
  <c r="I80" i="66"/>
  <c r="I70" i="66"/>
  <c r="I41" i="66"/>
  <c r="I33" i="66"/>
  <c r="I79" i="66"/>
  <c r="I40" i="66"/>
  <c r="I32" i="66"/>
  <c r="I115" i="66"/>
  <c r="I67" i="66"/>
  <c r="I66" i="66"/>
  <c r="H69" i="66"/>
  <c r="H71" i="66" s="1"/>
  <c r="I28" i="65"/>
  <c r="I23" i="65"/>
  <c r="I84" i="64"/>
  <c r="I85" i="64" s="1"/>
  <c r="I90" i="64" s="1"/>
  <c r="I75" i="64"/>
  <c r="I44" i="64"/>
  <c r="I65" i="64"/>
  <c r="I42" i="64"/>
  <c r="I67" i="64"/>
  <c r="I45" i="64"/>
  <c r="I43" i="64"/>
  <c r="I34" i="64"/>
  <c r="I76" i="64"/>
  <c r="I80" i="64"/>
  <c r="I70" i="64"/>
  <c r="I41" i="64"/>
  <c r="I33" i="64"/>
  <c r="I79" i="64"/>
  <c r="I69" i="64"/>
  <c r="I40" i="64"/>
  <c r="I32" i="64"/>
  <c r="I78" i="64"/>
  <c r="I39" i="64"/>
  <c r="I115" i="64"/>
  <c r="I77" i="64"/>
  <c r="I68" i="64"/>
  <c r="I38" i="64"/>
  <c r="I46" i="64" s="1"/>
  <c r="I59" i="64" s="1"/>
  <c r="H69" i="64"/>
  <c r="H71" i="64" s="1"/>
  <c r="I84" i="62"/>
  <c r="I85" i="62" s="1"/>
  <c r="I90" i="62" s="1"/>
  <c r="I75" i="62"/>
  <c r="I44" i="62"/>
  <c r="I70" i="62"/>
  <c r="I45" i="62"/>
  <c r="I43" i="62"/>
  <c r="I34" i="62"/>
  <c r="I65" i="62"/>
  <c r="I42" i="62"/>
  <c r="I80" i="62"/>
  <c r="I41" i="62"/>
  <c r="I33" i="62"/>
  <c r="I79" i="62"/>
  <c r="I40" i="62"/>
  <c r="I32" i="62"/>
  <c r="I78" i="62"/>
  <c r="I39" i="62"/>
  <c r="I115" i="62"/>
  <c r="I77" i="62"/>
  <c r="I68" i="62"/>
  <c r="I38" i="62"/>
  <c r="I76" i="62"/>
  <c r="I67" i="62"/>
  <c r="I66" i="62"/>
  <c r="H69" i="62"/>
  <c r="H71" i="62" s="1"/>
  <c r="I77" i="61"/>
  <c r="I68" i="61"/>
  <c r="I38" i="61"/>
  <c r="I76" i="61"/>
  <c r="I67" i="61"/>
  <c r="I45" i="61"/>
  <c r="I84" i="61"/>
  <c r="I85" i="61" s="1"/>
  <c r="I90" i="61" s="1"/>
  <c r="I75" i="61"/>
  <c r="I81" i="61" s="1"/>
  <c r="I89" i="61" s="1"/>
  <c r="I66" i="61"/>
  <c r="I44" i="61"/>
  <c r="I80" i="61"/>
  <c r="I41" i="61"/>
  <c r="I115" i="61"/>
  <c r="I79" i="61"/>
  <c r="I69" i="61"/>
  <c r="I43" i="61"/>
  <c r="I34" i="61"/>
  <c r="I65" i="61"/>
  <c r="I42" i="61"/>
  <c r="I70" i="61"/>
  <c r="I33" i="61"/>
  <c r="I40" i="61"/>
  <c r="I32" i="61"/>
  <c r="I35" i="61" s="1"/>
  <c r="I78" i="61"/>
  <c r="I39" i="61"/>
  <c r="I23" i="59"/>
  <c r="I28" i="59" s="1"/>
  <c r="G26" i="57"/>
  <c r="G25" i="57"/>
  <c r="G11" i="57"/>
  <c r="G10" i="57"/>
  <c r="G9" i="57"/>
  <c r="G8" i="57"/>
  <c r="G18" i="57" s="1"/>
  <c r="G7" i="57"/>
  <c r="G6" i="57"/>
  <c r="G5" i="57"/>
  <c r="G4" i="57"/>
  <c r="G3" i="57"/>
  <c r="G17" i="57"/>
  <c r="G16" i="57"/>
  <c r="G15" i="57"/>
  <c r="G14" i="57"/>
  <c r="G13" i="57"/>
  <c r="G12" i="57"/>
  <c r="I35" i="66" l="1"/>
  <c r="I46" i="66"/>
  <c r="I59" i="66" s="1"/>
  <c r="I69" i="66"/>
  <c r="I71" i="66" s="1"/>
  <c r="I117" i="66" s="1"/>
  <c r="I81" i="66"/>
  <c r="I89" i="66" s="1"/>
  <c r="I79" i="65"/>
  <c r="I69" i="65"/>
  <c r="I40" i="65"/>
  <c r="I32" i="65"/>
  <c r="I115" i="65"/>
  <c r="I77" i="65"/>
  <c r="I68" i="65"/>
  <c r="I38" i="65"/>
  <c r="I46" i="65" s="1"/>
  <c r="I59" i="65" s="1"/>
  <c r="I41" i="65"/>
  <c r="I78" i="65"/>
  <c r="I39" i="65"/>
  <c r="I76" i="65"/>
  <c r="I67" i="65"/>
  <c r="I45" i="65"/>
  <c r="I33" i="65"/>
  <c r="I84" i="65"/>
  <c r="I85" i="65" s="1"/>
  <c r="I90" i="65" s="1"/>
  <c r="I75" i="65"/>
  <c r="I44" i="65"/>
  <c r="I43" i="65"/>
  <c r="I34" i="65"/>
  <c r="I65" i="65"/>
  <c r="I42" i="65"/>
  <c r="I80" i="65"/>
  <c r="I70" i="65"/>
  <c r="I66" i="65"/>
  <c r="I71" i="64"/>
  <c r="I117" i="64" s="1"/>
  <c r="I35" i="64"/>
  <c r="I81" i="64"/>
  <c r="I89" i="64" s="1"/>
  <c r="I35" i="62"/>
  <c r="I71" i="62"/>
  <c r="I117" i="62" s="1"/>
  <c r="I46" i="62"/>
  <c r="I59" i="62" s="1"/>
  <c r="I69" i="62"/>
  <c r="I81" i="62"/>
  <c r="I89" i="62" s="1"/>
  <c r="I92" i="61"/>
  <c r="I118" i="61" s="1"/>
  <c r="I91" i="61"/>
  <c r="I58" i="61"/>
  <c r="I46" i="61"/>
  <c r="I59" i="61" s="1"/>
  <c r="I71" i="61"/>
  <c r="I117" i="61" s="1"/>
  <c r="I65" i="59"/>
  <c r="I42" i="59"/>
  <c r="I80" i="59"/>
  <c r="I69" i="59"/>
  <c r="I78" i="59"/>
  <c r="I39" i="59"/>
  <c r="I76" i="59"/>
  <c r="I44" i="59"/>
  <c r="I43" i="59"/>
  <c r="I41" i="59"/>
  <c r="I77" i="59"/>
  <c r="I68" i="59"/>
  <c r="I38" i="59"/>
  <c r="I115" i="59"/>
  <c r="I67" i="59"/>
  <c r="I45" i="59"/>
  <c r="I84" i="59"/>
  <c r="I85" i="59" s="1"/>
  <c r="I90" i="59" s="1"/>
  <c r="I75" i="59"/>
  <c r="I34" i="59"/>
  <c r="I70" i="59"/>
  <c r="I33" i="59"/>
  <c r="I79" i="59"/>
  <c r="I40" i="59"/>
  <c r="I32" i="59"/>
  <c r="I35" i="59" s="1"/>
  <c r="I66" i="59"/>
  <c r="I92" i="66" l="1"/>
  <c r="I118" i="66" s="1"/>
  <c r="I91" i="66"/>
  <c r="L21" i="66"/>
  <c r="L22" i="66" s="1"/>
  <c r="I58" i="66"/>
  <c r="I61" i="66" s="1"/>
  <c r="I116" i="66" s="1"/>
  <c r="I71" i="65"/>
  <c r="I117" i="65" s="1"/>
  <c r="I35" i="65"/>
  <c r="I81" i="65"/>
  <c r="I89" i="65" s="1"/>
  <c r="I92" i="64"/>
  <c r="I118" i="64" s="1"/>
  <c r="I91" i="64"/>
  <c r="L21" i="64"/>
  <c r="L22" i="64" s="1"/>
  <c r="I58" i="64"/>
  <c r="I61" i="64" s="1"/>
  <c r="I116" i="64" s="1"/>
  <c r="L21" i="62"/>
  <c r="L22" i="62" s="1"/>
  <c r="I58" i="62"/>
  <c r="I61" i="62" s="1"/>
  <c r="I116" i="62" s="1"/>
  <c r="I91" i="62"/>
  <c r="I92" i="62"/>
  <c r="I118" i="62" s="1"/>
  <c r="L21" i="61"/>
  <c r="L22" i="61" s="1"/>
  <c r="I61" i="61"/>
  <c r="I116" i="61" s="1"/>
  <c r="I58" i="59"/>
  <c r="I46" i="59"/>
  <c r="I59" i="59" s="1"/>
  <c r="I81" i="59"/>
  <c r="I89" i="59" s="1"/>
  <c r="I71" i="59"/>
  <c r="I117" i="59" s="1"/>
  <c r="K129" i="56"/>
  <c r="I97" i="53"/>
  <c r="I38" i="56"/>
  <c r="I37" i="56"/>
  <c r="I36" i="56"/>
  <c r="I35" i="56"/>
  <c r="I34" i="56"/>
  <c r="I33" i="56"/>
  <c r="I44" i="56"/>
  <c r="I45" i="56"/>
  <c r="I46" i="56"/>
  <c r="I47" i="56"/>
  <c r="I48" i="56"/>
  <c r="I49" i="56"/>
  <c r="I50" i="56"/>
  <c r="I51" i="56"/>
  <c r="I52" i="56"/>
  <c r="I53" i="56"/>
  <c r="I54" i="56"/>
  <c r="I55" i="56"/>
  <c r="I56" i="56"/>
  <c r="I57" i="56"/>
  <c r="I43" i="56"/>
  <c r="I109" i="56"/>
  <c r="I110" i="56"/>
  <c r="I111" i="56"/>
  <c r="I112" i="56"/>
  <c r="I113" i="56"/>
  <c r="I114" i="56"/>
  <c r="I115" i="56"/>
  <c r="I116" i="56"/>
  <c r="I117" i="56"/>
  <c r="I118" i="56"/>
  <c r="I119" i="56"/>
  <c r="I120" i="56"/>
  <c r="I121" i="56"/>
  <c r="I108" i="56"/>
  <c r="H102" i="56"/>
  <c r="D147" i="53"/>
  <c r="D146" i="53"/>
  <c r="H101" i="56"/>
  <c r="H100" i="56"/>
  <c r="H99" i="56"/>
  <c r="H98" i="56"/>
  <c r="H97" i="56"/>
  <c r="H96" i="56"/>
  <c r="H95" i="56"/>
  <c r="H94" i="56"/>
  <c r="H93" i="56"/>
  <c r="H92" i="56"/>
  <c r="H91" i="56"/>
  <c r="H90" i="56"/>
  <c r="H89" i="56"/>
  <c r="H88" i="56"/>
  <c r="H87" i="56"/>
  <c r="H86" i="56"/>
  <c r="H85" i="56"/>
  <c r="H84" i="56"/>
  <c r="H83" i="56"/>
  <c r="H82" i="56"/>
  <c r="H81" i="56"/>
  <c r="H80" i="56"/>
  <c r="H79" i="56"/>
  <c r="H78" i="56"/>
  <c r="H77" i="56"/>
  <c r="H76" i="56"/>
  <c r="H75" i="56"/>
  <c r="H74" i="56"/>
  <c r="H73" i="56"/>
  <c r="H72" i="56"/>
  <c r="H71" i="56"/>
  <c r="H70" i="56"/>
  <c r="H69" i="56"/>
  <c r="H68" i="56"/>
  <c r="H67" i="56"/>
  <c r="H66" i="56"/>
  <c r="H65" i="56"/>
  <c r="H64" i="56"/>
  <c r="H63" i="56"/>
  <c r="H26" i="56"/>
  <c r="H5" i="56"/>
  <c r="H6" i="56"/>
  <c r="H7" i="56"/>
  <c r="H8" i="56"/>
  <c r="H9" i="56"/>
  <c r="H10" i="56"/>
  <c r="H11" i="56"/>
  <c r="H12" i="56"/>
  <c r="H13" i="56"/>
  <c r="H14" i="56"/>
  <c r="H15" i="56"/>
  <c r="H16" i="56"/>
  <c r="H17" i="56"/>
  <c r="H18" i="56"/>
  <c r="H19" i="56"/>
  <c r="H20" i="56"/>
  <c r="H21" i="56"/>
  <c r="H22" i="56"/>
  <c r="H23" i="56"/>
  <c r="H24" i="56"/>
  <c r="H25" i="56"/>
  <c r="H4" i="56"/>
  <c r="F18" i="55"/>
  <c r="F17" i="55"/>
  <c r="F16" i="55"/>
  <c r="F15" i="55"/>
  <c r="F14" i="55"/>
  <c r="F13" i="55"/>
  <c r="F4" i="55"/>
  <c r="F5" i="55"/>
  <c r="F6" i="55"/>
  <c r="F7" i="55"/>
  <c r="F8" i="55"/>
  <c r="B147" i="46"/>
  <c r="B146" i="46"/>
  <c r="G146" i="53"/>
  <c r="G146" i="51"/>
  <c r="G147" i="10"/>
  <c r="G146" i="50"/>
  <c r="G146" i="49"/>
  <c r="I122" i="56" l="1"/>
  <c r="I123" i="56" s="1"/>
  <c r="I98" i="61" s="1"/>
  <c r="K98" i="61" s="1"/>
  <c r="H58" i="56"/>
  <c r="H59" i="56" s="1"/>
  <c r="F19" i="55"/>
  <c r="F20" i="55" s="1"/>
  <c r="I96" i="48" s="1"/>
  <c r="I100" i="48" s="1"/>
  <c r="I119" i="48" s="1"/>
  <c r="F9" i="55"/>
  <c r="F10" i="55" s="1"/>
  <c r="I96" i="62" s="1"/>
  <c r="I91" i="65"/>
  <c r="I92" i="65"/>
  <c r="I118" i="65" s="1"/>
  <c r="I58" i="65"/>
  <c r="I61" i="65" s="1"/>
  <c r="I116" i="65" s="1"/>
  <c r="L21" i="65"/>
  <c r="L22" i="65" s="1"/>
  <c r="I92" i="59"/>
  <c r="I118" i="59" s="1"/>
  <c r="I91" i="59"/>
  <c r="I61" i="59"/>
  <c r="I116" i="59" s="1"/>
  <c r="L21" i="59"/>
  <c r="L22" i="59" s="1"/>
  <c r="H103" i="56"/>
  <c r="H27" i="56"/>
  <c r="I138" i="53"/>
  <c r="B121" i="53"/>
  <c r="B119" i="53"/>
  <c r="B118" i="53"/>
  <c r="B117" i="53"/>
  <c r="B116" i="53"/>
  <c r="B115" i="53"/>
  <c r="H110" i="53"/>
  <c r="H106" i="53"/>
  <c r="K107" i="53" s="1"/>
  <c r="K108" i="53" s="1"/>
  <c r="H85" i="53"/>
  <c r="H81" i="53"/>
  <c r="H66" i="53"/>
  <c r="I53" i="53"/>
  <c r="I52" i="53"/>
  <c r="I51" i="53"/>
  <c r="I50" i="53"/>
  <c r="H46" i="53"/>
  <c r="H69" i="53" s="1"/>
  <c r="H71" i="53" s="1"/>
  <c r="H35" i="53"/>
  <c r="H34" i="53"/>
  <c r="I21" i="53"/>
  <c r="I49" i="53" s="1"/>
  <c r="I54" i="53" s="1"/>
  <c r="I60" i="53" s="1"/>
  <c r="I16" i="53"/>
  <c r="D147" i="52"/>
  <c r="E147" i="52"/>
  <c r="D146" i="52"/>
  <c r="E146" i="52"/>
  <c r="G146" i="52" s="1"/>
  <c r="I138" i="52"/>
  <c r="B121" i="52"/>
  <c r="B119" i="52"/>
  <c r="B118" i="52"/>
  <c r="B117" i="52"/>
  <c r="B116" i="52"/>
  <c r="B115" i="52"/>
  <c r="H106" i="52"/>
  <c r="K107" i="52" s="1"/>
  <c r="K108" i="52" s="1"/>
  <c r="H85" i="52"/>
  <c r="H81" i="52"/>
  <c r="H71" i="52"/>
  <c r="H69" i="52"/>
  <c r="H66" i="52"/>
  <c r="I53" i="52"/>
  <c r="I52" i="52"/>
  <c r="I51" i="52"/>
  <c r="I50" i="52"/>
  <c r="I49" i="52"/>
  <c r="I54" i="52" s="1"/>
  <c r="I60" i="52" s="1"/>
  <c r="H46" i="52"/>
  <c r="H35" i="52"/>
  <c r="H34" i="52"/>
  <c r="I21" i="52"/>
  <c r="I16" i="52"/>
  <c r="I138" i="51"/>
  <c r="B121" i="51"/>
  <c r="B119" i="51"/>
  <c r="B118" i="51"/>
  <c r="B117" i="51"/>
  <c r="B116" i="51"/>
  <c r="B115" i="51"/>
  <c r="H106" i="51"/>
  <c r="K107" i="51" s="1"/>
  <c r="K108" i="51" s="1"/>
  <c r="H85" i="51"/>
  <c r="H81" i="51"/>
  <c r="H66" i="51"/>
  <c r="I53" i="51"/>
  <c r="I52" i="51"/>
  <c r="I51" i="51"/>
  <c r="I50" i="51"/>
  <c r="I49" i="51"/>
  <c r="I54" i="51" s="1"/>
  <c r="I60" i="51" s="1"/>
  <c r="H46" i="51"/>
  <c r="H34" i="51" s="1"/>
  <c r="H35" i="51"/>
  <c r="I23" i="51"/>
  <c r="I21" i="51"/>
  <c r="I16" i="51"/>
  <c r="I138" i="50"/>
  <c r="B121" i="50"/>
  <c r="B119" i="50"/>
  <c r="B118" i="50"/>
  <c r="B117" i="50"/>
  <c r="B116" i="50"/>
  <c r="B115" i="50"/>
  <c r="H106" i="50"/>
  <c r="K107" i="50" s="1"/>
  <c r="K108" i="50" s="1"/>
  <c r="H85" i="50"/>
  <c r="H81" i="50"/>
  <c r="H66" i="50"/>
  <c r="I53" i="50"/>
  <c r="I52" i="50"/>
  <c r="I51" i="50"/>
  <c r="I50" i="50"/>
  <c r="I49" i="50"/>
  <c r="I54" i="50" s="1"/>
  <c r="I60" i="50" s="1"/>
  <c r="H46" i="50"/>
  <c r="H69" i="50" s="1"/>
  <c r="H71" i="50" s="1"/>
  <c r="H35" i="50"/>
  <c r="I23" i="50"/>
  <c r="I28" i="50" s="1"/>
  <c r="I21" i="50"/>
  <c r="I16" i="50"/>
  <c r="I138" i="49"/>
  <c r="B121" i="49"/>
  <c r="B119" i="49"/>
  <c r="B118" i="49"/>
  <c r="B117" i="49"/>
  <c r="B116" i="49"/>
  <c r="B115" i="49"/>
  <c r="H106" i="49"/>
  <c r="K107" i="49" s="1"/>
  <c r="K108" i="49" s="1"/>
  <c r="H85" i="49"/>
  <c r="H81" i="49"/>
  <c r="H66" i="49"/>
  <c r="I54" i="49"/>
  <c r="I60" i="49" s="1"/>
  <c r="I53" i="49"/>
  <c r="I52" i="49"/>
  <c r="I51" i="49"/>
  <c r="I50" i="49"/>
  <c r="I49" i="49"/>
  <c r="H46" i="49"/>
  <c r="H35" i="49"/>
  <c r="I23" i="49"/>
  <c r="I28" i="49" s="1"/>
  <c r="I21" i="49"/>
  <c r="I16" i="49"/>
  <c r="I138" i="48"/>
  <c r="B121" i="48"/>
  <c r="B119" i="48"/>
  <c r="B118" i="48"/>
  <c r="B117" i="48"/>
  <c r="B116" i="48"/>
  <c r="B115" i="48"/>
  <c r="H106" i="48"/>
  <c r="K107" i="48" s="1"/>
  <c r="K108" i="48" s="1"/>
  <c r="H85" i="48"/>
  <c r="H81" i="48"/>
  <c r="H66" i="48"/>
  <c r="I53" i="48"/>
  <c r="I52" i="48"/>
  <c r="I51" i="48"/>
  <c r="I50" i="48"/>
  <c r="H46" i="48"/>
  <c r="H34" i="48" s="1"/>
  <c r="H35" i="48"/>
  <c r="I23" i="48"/>
  <c r="I21" i="48"/>
  <c r="I28" i="48" s="1"/>
  <c r="I16" i="48"/>
  <c r="I98" i="10" l="1"/>
  <c r="K98" i="10" s="1"/>
  <c r="K126" i="56"/>
  <c r="I98" i="49"/>
  <c r="I98" i="52"/>
  <c r="I98" i="51"/>
  <c r="I98" i="50"/>
  <c r="I98" i="64"/>
  <c r="I98" i="65"/>
  <c r="I98" i="62"/>
  <c r="I96" i="53"/>
  <c r="I96" i="52"/>
  <c r="I96" i="46"/>
  <c r="I96" i="33"/>
  <c r="I96" i="61"/>
  <c r="I96" i="51"/>
  <c r="I96" i="65"/>
  <c r="I96" i="34"/>
  <c r="I96" i="66"/>
  <c r="I96" i="50"/>
  <c r="I96" i="64"/>
  <c r="I96" i="49"/>
  <c r="I96" i="10"/>
  <c r="I99" i="10"/>
  <c r="I99" i="46" s="1"/>
  <c r="I99" i="66"/>
  <c r="I99" i="64"/>
  <c r="I99" i="51"/>
  <c r="I99" i="52"/>
  <c r="I99" i="53"/>
  <c r="K128" i="56"/>
  <c r="I99" i="61"/>
  <c r="I99" i="50"/>
  <c r="I99" i="49"/>
  <c r="I99" i="65"/>
  <c r="I99" i="62"/>
  <c r="H28" i="56"/>
  <c r="K130" i="56"/>
  <c r="I96" i="59"/>
  <c r="I100" i="59" s="1"/>
  <c r="I119" i="59" s="1"/>
  <c r="I120" i="59"/>
  <c r="I104" i="59" s="1"/>
  <c r="I105" i="59" s="1"/>
  <c r="I23" i="53"/>
  <c r="H104" i="56"/>
  <c r="K127" i="56"/>
  <c r="I126" i="56"/>
  <c r="I45" i="47" s="1"/>
  <c r="H110" i="48"/>
  <c r="H110" i="49"/>
  <c r="H110" i="50"/>
  <c r="H110" i="51"/>
  <c r="H110" i="52"/>
  <c r="I28" i="51"/>
  <c r="I44" i="51" s="1"/>
  <c r="I28" i="53"/>
  <c r="I28" i="52"/>
  <c r="I66" i="52" s="1"/>
  <c r="I23" i="52"/>
  <c r="H69" i="51"/>
  <c r="H71" i="51"/>
  <c r="I115" i="50"/>
  <c r="I84" i="50"/>
  <c r="I85" i="50" s="1"/>
  <c r="I90" i="50" s="1"/>
  <c r="I75" i="50"/>
  <c r="I66" i="50"/>
  <c r="I44" i="50"/>
  <c r="I80" i="50"/>
  <c r="I79" i="50"/>
  <c r="I40" i="50"/>
  <c r="I32" i="50"/>
  <c r="I78" i="50"/>
  <c r="I39" i="50"/>
  <c r="I43" i="50"/>
  <c r="I34" i="50"/>
  <c r="I65" i="50"/>
  <c r="I42" i="50"/>
  <c r="I70" i="50"/>
  <c r="I41" i="50"/>
  <c r="I33" i="50"/>
  <c r="I69" i="50"/>
  <c r="I77" i="50"/>
  <c r="I68" i="50"/>
  <c r="I38" i="50"/>
  <c r="I76" i="50"/>
  <c r="I67" i="50"/>
  <c r="I45" i="50"/>
  <c r="H34" i="50"/>
  <c r="I66" i="49"/>
  <c r="I115" i="49"/>
  <c r="I84" i="49"/>
  <c r="I85" i="49" s="1"/>
  <c r="I90" i="49" s="1"/>
  <c r="I75" i="49"/>
  <c r="I44" i="49"/>
  <c r="I38" i="49"/>
  <c r="I43" i="49"/>
  <c r="I80" i="49"/>
  <c r="I70" i="49"/>
  <c r="I41" i="49"/>
  <c r="I33" i="49"/>
  <c r="I79" i="49"/>
  <c r="I69" i="49"/>
  <c r="I40" i="49"/>
  <c r="I32" i="49"/>
  <c r="I78" i="49"/>
  <c r="I76" i="49"/>
  <c r="I67" i="49"/>
  <c r="I65" i="49"/>
  <c r="I42" i="49"/>
  <c r="I39" i="49"/>
  <c r="I77" i="49"/>
  <c r="I68" i="49"/>
  <c r="I45" i="49"/>
  <c r="H34" i="49"/>
  <c r="I34" i="49" s="1"/>
  <c r="H71" i="49"/>
  <c r="H69" i="49"/>
  <c r="I115" i="48"/>
  <c r="I65" i="48"/>
  <c r="I42" i="48"/>
  <c r="I33" i="48"/>
  <c r="I40" i="48"/>
  <c r="I78" i="48"/>
  <c r="I39" i="48"/>
  <c r="I77" i="48"/>
  <c r="I80" i="48"/>
  <c r="I70" i="48"/>
  <c r="I41" i="48"/>
  <c r="I79" i="48"/>
  <c r="I32" i="48"/>
  <c r="I68" i="48"/>
  <c r="I38" i="48"/>
  <c r="I76" i="48"/>
  <c r="I67" i="48"/>
  <c r="I45" i="48"/>
  <c r="I84" i="48"/>
  <c r="I85" i="48" s="1"/>
  <c r="I90" i="48" s="1"/>
  <c r="I75" i="48"/>
  <c r="I44" i="48"/>
  <c r="I43" i="48"/>
  <c r="I34" i="48"/>
  <c r="I66" i="48"/>
  <c r="H69" i="48"/>
  <c r="I69" i="48" s="1"/>
  <c r="I49" i="48"/>
  <c r="I54" i="48" s="1"/>
  <c r="I60" i="48" s="1"/>
  <c r="I71" i="49" l="1"/>
  <c r="I117" i="49" s="1"/>
  <c r="I97" i="61"/>
  <c r="K97" i="61" s="1"/>
  <c r="I97" i="65"/>
  <c r="I100" i="65" s="1"/>
  <c r="I119" i="65" s="1"/>
  <c r="I120" i="65" s="1"/>
  <c r="I104" i="65" s="1"/>
  <c r="I97" i="64"/>
  <c r="I100" i="64" s="1"/>
  <c r="I119" i="64" s="1"/>
  <c r="I120" i="64" s="1"/>
  <c r="I97" i="62"/>
  <c r="I100" i="62" s="1"/>
  <c r="I119" i="62" s="1"/>
  <c r="I120" i="62" s="1"/>
  <c r="K131" i="56"/>
  <c r="I98" i="66"/>
  <c r="I100" i="66" s="1"/>
  <c r="I119" i="66" s="1"/>
  <c r="I120" i="66" s="1"/>
  <c r="I104" i="66" s="1"/>
  <c r="I105" i="66" s="1"/>
  <c r="I98" i="53"/>
  <c r="I100" i="53" s="1"/>
  <c r="I119" i="53" s="1"/>
  <c r="I32" i="51"/>
  <c r="I33" i="51"/>
  <c r="I40" i="51"/>
  <c r="I75" i="51"/>
  <c r="I81" i="51" s="1"/>
  <c r="I89" i="51" s="1"/>
  <c r="I45" i="51"/>
  <c r="I69" i="51"/>
  <c r="I84" i="51"/>
  <c r="I85" i="51" s="1"/>
  <c r="I90" i="51" s="1"/>
  <c r="I78" i="51"/>
  <c r="I67" i="51"/>
  <c r="I65" i="51"/>
  <c r="I41" i="51"/>
  <c r="I79" i="51"/>
  <c r="I43" i="51"/>
  <c r="I115" i="51"/>
  <c r="I76" i="51"/>
  <c r="I38" i="51"/>
  <c r="I39" i="51"/>
  <c r="I80" i="51"/>
  <c r="I71" i="50"/>
  <c r="I117" i="50" s="1"/>
  <c r="K109" i="59"/>
  <c r="K110" i="59" s="1"/>
  <c r="I109" i="59" s="1"/>
  <c r="I97" i="50"/>
  <c r="I100" i="50" s="1"/>
  <c r="I119" i="50" s="1"/>
  <c r="I97" i="51"/>
  <c r="I100" i="51" s="1"/>
  <c r="I119" i="51" s="1"/>
  <c r="I97" i="52"/>
  <c r="I100" i="52" s="1"/>
  <c r="I119" i="52" s="1"/>
  <c r="I97" i="10"/>
  <c r="I97" i="49"/>
  <c r="I100" i="49" s="1"/>
  <c r="I119" i="49" s="1"/>
  <c r="I66" i="51"/>
  <c r="I68" i="51"/>
  <c r="I70" i="51"/>
  <c r="I34" i="51"/>
  <c r="I35" i="51" s="1"/>
  <c r="I77" i="51"/>
  <c r="I42" i="51"/>
  <c r="I115" i="53"/>
  <c r="I84" i="53"/>
  <c r="I85" i="53" s="1"/>
  <c r="I90" i="53" s="1"/>
  <c r="I75" i="53"/>
  <c r="I44" i="53"/>
  <c r="I43" i="53"/>
  <c r="I34" i="53"/>
  <c r="I65" i="53"/>
  <c r="I42" i="53"/>
  <c r="I76" i="53"/>
  <c r="I67" i="53"/>
  <c r="I45" i="53"/>
  <c r="I80" i="53"/>
  <c r="I70" i="53"/>
  <c r="I41" i="53"/>
  <c r="I33" i="53"/>
  <c r="I79" i="53"/>
  <c r="I69" i="53"/>
  <c r="I40" i="53"/>
  <c r="I32" i="53"/>
  <c r="I78" i="53"/>
  <c r="I39" i="53"/>
  <c r="I77" i="53"/>
  <c r="I68" i="53"/>
  <c r="I38" i="53"/>
  <c r="I66" i="53"/>
  <c r="I78" i="52"/>
  <c r="I39" i="52"/>
  <c r="I76" i="52"/>
  <c r="I67" i="52"/>
  <c r="I45" i="52"/>
  <c r="I115" i="52"/>
  <c r="I84" i="52"/>
  <c r="I85" i="52" s="1"/>
  <c r="I90" i="52" s="1"/>
  <c r="I75" i="52"/>
  <c r="I81" i="52" s="1"/>
  <c r="I89" i="52" s="1"/>
  <c r="I43" i="52"/>
  <c r="I65" i="52"/>
  <c r="I42" i="52"/>
  <c r="I80" i="52"/>
  <c r="I70" i="52"/>
  <c r="I33" i="52"/>
  <c r="I79" i="52"/>
  <c r="I40" i="52"/>
  <c r="I32" i="52"/>
  <c r="I77" i="52"/>
  <c r="I68" i="52"/>
  <c r="I38" i="52"/>
  <c r="I44" i="52"/>
  <c r="I34" i="52"/>
  <c r="I41" i="52"/>
  <c r="I69" i="52"/>
  <c r="I71" i="51"/>
  <c r="I117" i="51" s="1"/>
  <c r="I46" i="50"/>
  <c r="I59" i="50" s="1"/>
  <c r="I81" i="50"/>
  <c r="I89" i="50" s="1"/>
  <c r="I35" i="50"/>
  <c r="I46" i="49"/>
  <c r="I59" i="49" s="1"/>
  <c r="I81" i="49"/>
  <c r="I89" i="49" s="1"/>
  <c r="I35" i="49"/>
  <c r="I71" i="48"/>
  <c r="I117" i="48" s="1"/>
  <c r="H71" i="48"/>
  <c r="I46" i="48"/>
  <c r="I59" i="48" s="1"/>
  <c r="I35" i="48"/>
  <c r="I81" i="48"/>
  <c r="I89" i="48" s="1"/>
  <c r="I104" i="62" l="1"/>
  <c r="I105" i="62" s="1"/>
  <c r="K109" i="62" s="1"/>
  <c r="K110" i="62" s="1"/>
  <c r="I104" i="64"/>
  <c r="I105" i="64" s="1"/>
  <c r="K109" i="64" s="1"/>
  <c r="K110" i="64" s="1"/>
  <c r="I100" i="61"/>
  <c r="I119" i="61" s="1"/>
  <c r="I120" i="61" s="1"/>
  <c r="I46" i="51"/>
  <c r="I59" i="51" s="1"/>
  <c r="K109" i="66"/>
  <c r="K110" i="66" s="1"/>
  <c r="I105" i="65"/>
  <c r="I107" i="59"/>
  <c r="I137" i="59" s="1"/>
  <c r="I140" i="59" s="1"/>
  <c r="I108" i="59"/>
  <c r="I100" i="10"/>
  <c r="K97" i="10"/>
  <c r="I35" i="53"/>
  <c r="I81" i="53"/>
  <c r="I89" i="53" s="1"/>
  <c r="I46" i="53"/>
  <c r="I59" i="53" s="1"/>
  <c r="I71" i="53"/>
  <c r="I117" i="53" s="1"/>
  <c r="I92" i="52"/>
  <c r="I118" i="52" s="1"/>
  <c r="I91" i="52"/>
  <c r="I46" i="52"/>
  <c r="I59" i="52" s="1"/>
  <c r="I71" i="52"/>
  <c r="I117" i="52" s="1"/>
  <c r="I35" i="52"/>
  <c r="I58" i="51"/>
  <c r="I92" i="51"/>
  <c r="I118" i="51" s="1"/>
  <c r="I91" i="51"/>
  <c r="L21" i="50"/>
  <c r="L22" i="50" s="1"/>
  <c r="I58" i="50"/>
  <c r="I61" i="50" s="1"/>
  <c r="I116" i="50" s="1"/>
  <c r="I92" i="50"/>
  <c r="I118" i="50" s="1"/>
  <c r="I91" i="50"/>
  <c r="L21" i="49"/>
  <c r="L22" i="49" s="1"/>
  <c r="I58" i="49"/>
  <c r="I61" i="49" s="1"/>
  <c r="I116" i="49" s="1"/>
  <c r="I92" i="49"/>
  <c r="I118" i="49" s="1"/>
  <c r="I91" i="49"/>
  <c r="I92" i="48"/>
  <c r="I118" i="48" s="1"/>
  <c r="I91" i="48"/>
  <c r="L21" i="48"/>
  <c r="L22" i="48" s="1"/>
  <c r="I58" i="48"/>
  <c r="I61" i="48" s="1"/>
  <c r="I116" i="48" s="1"/>
  <c r="I104" i="61" l="1"/>
  <c r="I105" i="61" s="1"/>
  <c r="I61" i="51"/>
  <c r="I116" i="51" s="1"/>
  <c r="I120" i="51" s="1"/>
  <c r="I104" i="51" s="1"/>
  <c r="L21" i="51"/>
  <c r="L22" i="51" s="1"/>
  <c r="I107" i="66"/>
  <c r="I108" i="66"/>
  <c r="I109" i="66"/>
  <c r="K109" i="65"/>
  <c r="K110" i="65" s="1"/>
  <c r="I107" i="64"/>
  <c r="I109" i="64"/>
  <c r="I108" i="64"/>
  <c r="I107" i="62"/>
  <c r="I109" i="62"/>
  <c r="I108" i="62"/>
  <c r="I110" i="59"/>
  <c r="I121" i="59" s="1"/>
  <c r="I122" i="59" s="1"/>
  <c r="L21" i="53"/>
  <c r="L22" i="53" s="1"/>
  <c r="I58" i="53"/>
  <c r="I61" i="53" s="1"/>
  <c r="I116" i="53" s="1"/>
  <c r="I92" i="53"/>
  <c r="I118" i="53" s="1"/>
  <c r="I91" i="53"/>
  <c r="I58" i="52"/>
  <c r="I61" i="52" s="1"/>
  <c r="I116" i="52" s="1"/>
  <c r="I120" i="52" s="1"/>
  <c r="L21" i="52"/>
  <c r="L22" i="52" s="1"/>
  <c r="I120" i="50"/>
  <c r="I120" i="49"/>
  <c r="I120" i="48"/>
  <c r="K109" i="61" l="1"/>
  <c r="K110" i="61" s="1"/>
  <c r="I109" i="61" s="1"/>
  <c r="I137" i="66"/>
  <c r="I140" i="66" s="1"/>
  <c r="I110" i="66"/>
  <c r="I109" i="65"/>
  <c r="I108" i="65"/>
  <c r="I107" i="65"/>
  <c r="I137" i="64"/>
  <c r="I140" i="64" s="1"/>
  <c r="I110" i="64"/>
  <c r="I137" i="62"/>
  <c r="I140" i="62" s="1"/>
  <c r="I110" i="62"/>
  <c r="I139" i="59"/>
  <c r="I120" i="53"/>
  <c r="I104" i="52"/>
  <c r="I105" i="51"/>
  <c r="I104" i="50"/>
  <c r="I105" i="50" s="1"/>
  <c r="I104" i="49"/>
  <c r="I105" i="49" s="1"/>
  <c r="I104" i="48"/>
  <c r="I107" i="61" l="1"/>
  <c r="I137" i="61" s="1"/>
  <c r="I140" i="61" s="1"/>
  <c r="I108" i="61"/>
  <c r="I139" i="66"/>
  <c r="I121" i="66"/>
  <c r="I122" i="66" s="1"/>
  <c r="E147" i="66" s="1"/>
  <c r="G147" i="66" s="1"/>
  <c r="H148" i="66" s="1"/>
  <c r="F21" i="47" s="1"/>
  <c r="I137" i="65"/>
  <c r="I140" i="65" s="1"/>
  <c r="I110" i="65"/>
  <c r="I121" i="64"/>
  <c r="I122" i="64" s="1"/>
  <c r="E147" i="64" s="1"/>
  <c r="G147" i="64" s="1"/>
  <c r="H148" i="64" s="1"/>
  <c r="F20" i="47" s="1"/>
  <c r="I139" i="64"/>
  <c r="I121" i="62"/>
  <c r="I122" i="62" s="1"/>
  <c r="E147" i="62" s="1"/>
  <c r="G147" i="62" s="1"/>
  <c r="H148" i="62" s="1"/>
  <c r="F19" i="47" s="1"/>
  <c r="I139" i="62"/>
  <c r="I104" i="53"/>
  <c r="I105" i="53" s="1"/>
  <c r="I105" i="52"/>
  <c r="K109" i="51"/>
  <c r="K110" i="51" s="1"/>
  <c r="K109" i="50"/>
  <c r="K110" i="50" s="1"/>
  <c r="K109" i="49"/>
  <c r="K110" i="49" s="1"/>
  <c r="I105" i="48"/>
  <c r="I110" i="61" l="1"/>
  <c r="I121" i="61" s="1"/>
  <c r="I122" i="61" s="1"/>
  <c r="E148" i="61" s="1"/>
  <c r="G148" i="61" s="1"/>
  <c r="H149" i="61" s="1"/>
  <c r="F18" i="47" s="1"/>
  <c r="I121" i="65"/>
  <c r="I122" i="65" s="1"/>
  <c r="F147" i="65" s="1"/>
  <c r="G147" i="65" s="1"/>
  <c r="G148" i="65" s="1"/>
  <c r="I139" i="65"/>
  <c r="K109" i="53"/>
  <c r="K110" i="53" s="1"/>
  <c r="I107" i="53" s="1"/>
  <c r="I137" i="53" s="1"/>
  <c r="I140" i="53" s="1"/>
  <c r="K109" i="52"/>
  <c r="K110" i="52" s="1"/>
  <c r="I108" i="51"/>
  <c r="I107" i="51"/>
  <c r="I109" i="51"/>
  <c r="I108" i="50"/>
  <c r="I109" i="50"/>
  <c r="I107" i="50"/>
  <c r="I108" i="49"/>
  <c r="I109" i="49"/>
  <c r="I107" i="49"/>
  <c r="K109" i="48"/>
  <c r="K110" i="48" s="1"/>
  <c r="I139" i="61" l="1"/>
  <c r="I108" i="53"/>
  <c r="I109" i="53"/>
  <c r="I108" i="52"/>
  <c r="I109" i="52"/>
  <c r="I107" i="52"/>
  <c r="I137" i="51"/>
  <c r="I140" i="51" s="1"/>
  <c r="I110" i="51"/>
  <c r="I137" i="50"/>
  <c r="I140" i="50" s="1"/>
  <c r="I110" i="50"/>
  <c r="I137" i="49"/>
  <c r="I140" i="49" s="1"/>
  <c r="I110" i="49"/>
  <c r="I108" i="48"/>
  <c r="I107" i="48"/>
  <c r="I109" i="48"/>
  <c r="I110" i="53" l="1"/>
  <c r="I139" i="53" s="1"/>
  <c r="I137" i="52"/>
  <c r="I140" i="52" s="1"/>
  <c r="I110" i="52"/>
  <c r="I139" i="51"/>
  <c r="I121" i="51"/>
  <c r="I122" i="51" s="1"/>
  <c r="I121" i="50"/>
  <c r="I122" i="50" s="1"/>
  <c r="I139" i="50"/>
  <c r="I139" i="49"/>
  <c r="I121" i="49"/>
  <c r="I122" i="49" s="1"/>
  <c r="I137" i="48"/>
  <c r="I140" i="48" s="1"/>
  <c r="I110" i="48"/>
  <c r="E147" i="51" l="1"/>
  <c r="G147" i="51" s="1"/>
  <c r="H148" i="51" s="1"/>
  <c r="E13" i="58" s="1"/>
  <c r="R9" i="47"/>
  <c r="S9" i="47" s="1"/>
  <c r="D13" i="58"/>
  <c r="E147" i="50"/>
  <c r="G147" i="50" s="1"/>
  <c r="H148" i="50" s="1"/>
  <c r="E12" i="58" s="1"/>
  <c r="R8" i="47"/>
  <c r="S8" i="47" s="1"/>
  <c r="D12" i="58"/>
  <c r="E147" i="49"/>
  <c r="G147" i="49" s="1"/>
  <c r="H148" i="49" s="1"/>
  <c r="E11" i="58" s="1"/>
  <c r="R7" i="47"/>
  <c r="S7" i="47" s="1"/>
  <c r="D11" i="58"/>
  <c r="I121" i="53"/>
  <c r="I122" i="53" s="1"/>
  <c r="I121" i="52"/>
  <c r="I122" i="52" s="1"/>
  <c r="I139" i="52"/>
  <c r="I139" i="48"/>
  <c r="I121" i="48"/>
  <c r="I122" i="48" s="1"/>
  <c r="F11" i="47" l="1"/>
  <c r="H11" i="47" s="1"/>
  <c r="J11" i="47" s="1"/>
  <c r="F10" i="47"/>
  <c r="H10" i="47" s="1"/>
  <c r="J10" i="47" s="1"/>
  <c r="F147" i="52"/>
  <c r="G147" i="52" s="1"/>
  <c r="G148" i="52" s="1"/>
  <c r="F12" i="47" s="1"/>
  <c r="H12" i="47" s="1"/>
  <c r="J12" i="47" s="1"/>
  <c r="R10" i="47"/>
  <c r="S10" i="47" s="1"/>
  <c r="D14" i="58"/>
  <c r="F9" i="47"/>
  <c r="H9" i="47" s="1"/>
  <c r="J9" i="47" s="1"/>
  <c r="E147" i="53"/>
  <c r="G147" i="53" s="1"/>
  <c r="H148" i="53" s="1"/>
  <c r="F13" i="47" s="1"/>
  <c r="H21" i="47" s="1"/>
  <c r="J21" i="47" s="1"/>
  <c r="R11" i="47"/>
  <c r="S11" i="47" s="1"/>
  <c r="F27" i="47"/>
  <c r="H27" i="47" s="1"/>
  <c r="J27" i="47" s="1"/>
  <c r="H20" i="47"/>
  <c r="J20" i="47" s="1"/>
  <c r="H16" i="32"/>
  <c r="H42" i="32"/>
  <c r="E14" i="58" l="1"/>
  <c r="H19" i="47"/>
  <c r="J19" i="47" s="1"/>
  <c r="H13" i="47"/>
  <c r="J13" i="47" s="1"/>
  <c r="I46" i="47"/>
  <c r="D147" i="46" l="1"/>
  <c r="E147" i="46"/>
  <c r="D146" i="46"/>
  <c r="E146" i="46"/>
  <c r="I138" i="46" l="1"/>
  <c r="B121" i="46"/>
  <c r="B119" i="46"/>
  <c r="B118" i="46"/>
  <c r="B117" i="46"/>
  <c r="B116" i="46"/>
  <c r="B115" i="46"/>
  <c r="H106" i="46"/>
  <c r="K107" i="46" s="1"/>
  <c r="K108" i="46" s="1"/>
  <c r="H85" i="46"/>
  <c r="H81" i="46"/>
  <c r="H69" i="46"/>
  <c r="H71" i="46" s="1"/>
  <c r="H66" i="46"/>
  <c r="I53" i="46"/>
  <c r="I52" i="46"/>
  <c r="I51" i="46"/>
  <c r="I50" i="46"/>
  <c r="H46" i="46"/>
  <c r="H35" i="46"/>
  <c r="I21" i="46"/>
  <c r="I23" i="46" s="1"/>
  <c r="I28" i="46" s="1"/>
  <c r="I16" i="46"/>
  <c r="I127" i="45"/>
  <c r="B121" i="45"/>
  <c r="B119" i="45"/>
  <c r="B118" i="45"/>
  <c r="B117" i="45"/>
  <c r="B116" i="45"/>
  <c r="B115" i="45"/>
  <c r="H106" i="45"/>
  <c r="K107" i="45" s="1"/>
  <c r="K108" i="45" s="1"/>
  <c r="I100" i="45"/>
  <c r="I119" i="45" s="1"/>
  <c r="H85" i="45"/>
  <c r="H81" i="45"/>
  <c r="H71" i="45"/>
  <c r="I52" i="45"/>
  <c r="I51" i="45"/>
  <c r="H46" i="45"/>
  <c r="H35" i="45"/>
  <c r="I21" i="45"/>
  <c r="I23" i="45" s="1"/>
  <c r="I28" i="45" s="1"/>
  <c r="I16" i="45"/>
  <c r="B121" i="44"/>
  <c r="B119" i="44"/>
  <c r="B118" i="44"/>
  <c r="B117" i="44"/>
  <c r="B116" i="44"/>
  <c r="B115" i="44"/>
  <c r="H106" i="44"/>
  <c r="K107" i="44" s="1"/>
  <c r="K108" i="44" s="1"/>
  <c r="I100" i="44"/>
  <c r="I119" i="44" s="1"/>
  <c r="H85" i="44"/>
  <c r="H81" i="44"/>
  <c r="H71" i="44"/>
  <c r="I52" i="44"/>
  <c r="I51" i="44"/>
  <c r="H46" i="44"/>
  <c r="H34" i="44" s="1"/>
  <c r="H35" i="44"/>
  <c r="I21" i="44"/>
  <c r="I23" i="44" s="1"/>
  <c r="I28" i="44" s="1"/>
  <c r="I16" i="44"/>
  <c r="I138" i="41"/>
  <c r="B121" i="41"/>
  <c r="B119" i="41"/>
  <c r="B118" i="41"/>
  <c r="B117" i="41"/>
  <c r="B116" i="41"/>
  <c r="B115" i="41"/>
  <c r="H106" i="41"/>
  <c r="K107" i="41" s="1"/>
  <c r="K108" i="41" s="1"/>
  <c r="H85" i="41"/>
  <c r="H81" i="41"/>
  <c r="I52" i="41"/>
  <c r="I51" i="41"/>
  <c r="H46" i="41"/>
  <c r="H35" i="41"/>
  <c r="I21" i="41"/>
  <c r="I23" i="41" s="1"/>
  <c r="I28" i="41" s="1"/>
  <c r="I16" i="41"/>
  <c r="I50" i="33"/>
  <c r="I50" i="34"/>
  <c r="I50" i="10"/>
  <c r="I21" i="10"/>
  <c r="H110" i="44" l="1"/>
  <c r="H110" i="46"/>
  <c r="H34" i="45"/>
  <c r="I34" i="45" s="1"/>
  <c r="H34" i="41"/>
  <c r="I34" i="41" s="1"/>
  <c r="H34" i="46"/>
  <c r="H110" i="41"/>
  <c r="I54" i="45"/>
  <c r="I60" i="45" s="1"/>
  <c r="I49" i="46"/>
  <c r="I54" i="46" s="1"/>
  <c r="I60" i="46" s="1"/>
  <c r="I77" i="46"/>
  <c r="I68" i="46"/>
  <c r="I38" i="46"/>
  <c r="I65" i="46"/>
  <c r="I42" i="46"/>
  <c r="I41" i="46"/>
  <c r="I76" i="46"/>
  <c r="I67" i="46"/>
  <c r="I45" i="46"/>
  <c r="I80" i="46"/>
  <c r="I70" i="46"/>
  <c r="I32" i="46"/>
  <c r="I78" i="46"/>
  <c r="I84" i="46"/>
  <c r="I85" i="46" s="1"/>
  <c r="I90" i="46" s="1"/>
  <c r="I75" i="46"/>
  <c r="I44" i="46"/>
  <c r="I115" i="46"/>
  <c r="I43" i="46"/>
  <c r="I34" i="46"/>
  <c r="I33" i="46"/>
  <c r="I79" i="46"/>
  <c r="I69" i="46"/>
  <c r="I40" i="46"/>
  <c r="I39" i="46"/>
  <c r="I66" i="46"/>
  <c r="I54" i="44"/>
  <c r="I60" i="44" s="1"/>
  <c r="I115" i="45"/>
  <c r="I80" i="45"/>
  <c r="I70" i="45"/>
  <c r="I44" i="45"/>
  <c r="I78" i="45"/>
  <c r="I68" i="45"/>
  <c r="I42" i="45"/>
  <c r="I33" i="45"/>
  <c r="I79" i="45"/>
  <c r="I69" i="45"/>
  <c r="I43" i="45"/>
  <c r="I77" i="45"/>
  <c r="I67" i="45"/>
  <c r="I41" i="45"/>
  <c r="I76" i="45"/>
  <c r="I66" i="45"/>
  <c r="I40" i="45"/>
  <c r="I32" i="45"/>
  <c r="I84" i="45"/>
  <c r="I85" i="45" s="1"/>
  <c r="I90" i="45" s="1"/>
  <c r="I75" i="45"/>
  <c r="I65" i="45"/>
  <c r="I39" i="45"/>
  <c r="I38" i="45"/>
  <c r="I45" i="45"/>
  <c r="H110" i="45"/>
  <c r="I77" i="44"/>
  <c r="I67" i="44"/>
  <c r="I41" i="44"/>
  <c r="I33" i="44"/>
  <c r="I76" i="44"/>
  <c r="I66" i="44"/>
  <c r="I40" i="44"/>
  <c r="I32" i="44"/>
  <c r="I65" i="44"/>
  <c r="I38" i="44"/>
  <c r="I44" i="44"/>
  <c r="I79" i="44"/>
  <c r="I43" i="44"/>
  <c r="I78" i="44"/>
  <c r="I42" i="44"/>
  <c r="I84" i="44"/>
  <c r="I85" i="44" s="1"/>
  <c r="I90" i="44" s="1"/>
  <c r="I45" i="44"/>
  <c r="I115" i="44"/>
  <c r="I80" i="44"/>
  <c r="I70" i="44"/>
  <c r="I69" i="44"/>
  <c r="I34" i="44"/>
  <c r="I68" i="44"/>
  <c r="I75" i="44"/>
  <c r="I39" i="44"/>
  <c r="I54" i="41"/>
  <c r="I60" i="41" s="1"/>
  <c r="I115" i="41"/>
  <c r="I43" i="41"/>
  <c r="I65" i="41"/>
  <c r="I42" i="41"/>
  <c r="I38" i="41"/>
  <c r="I45" i="41"/>
  <c r="I84" i="41"/>
  <c r="I85" i="41" s="1"/>
  <c r="I90" i="41" s="1"/>
  <c r="I100" i="41"/>
  <c r="I119" i="41" s="1"/>
  <c r="I76" i="41"/>
  <c r="I67" i="41"/>
  <c r="I66" i="41"/>
  <c r="I80" i="41"/>
  <c r="I70" i="41"/>
  <c r="I41" i="41"/>
  <c r="I33" i="41"/>
  <c r="I79" i="41"/>
  <c r="I40" i="41"/>
  <c r="I32" i="41"/>
  <c r="I78" i="41"/>
  <c r="I39" i="41"/>
  <c r="I77" i="41"/>
  <c r="I68" i="41"/>
  <c r="I75" i="41"/>
  <c r="I44" i="41"/>
  <c r="H71" i="41"/>
  <c r="I21" i="34"/>
  <c r="I49" i="34" s="1"/>
  <c r="I21" i="33"/>
  <c r="I49" i="33" s="1"/>
  <c r="I81" i="46" l="1"/>
  <c r="I89" i="46" s="1"/>
  <c r="I35" i="46"/>
  <c r="I58" i="46" s="1"/>
  <c r="I71" i="46"/>
  <c r="I117" i="46" s="1"/>
  <c r="I100" i="46"/>
  <c r="I119" i="46" s="1"/>
  <c r="I46" i="46"/>
  <c r="I59" i="46" s="1"/>
  <c r="I35" i="45"/>
  <c r="I58" i="45" s="1"/>
  <c r="I81" i="44"/>
  <c r="I89" i="44" s="1"/>
  <c r="I35" i="44"/>
  <c r="I58" i="44" s="1"/>
  <c r="I46" i="45"/>
  <c r="I59" i="45" s="1"/>
  <c r="I71" i="45"/>
  <c r="I117" i="45" s="1"/>
  <c r="I81" i="45"/>
  <c r="I89" i="45" s="1"/>
  <c r="I46" i="44"/>
  <c r="I59" i="44" s="1"/>
  <c r="I71" i="44"/>
  <c r="I117" i="44" s="1"/>
  <c r="I69" i="41"/>
  <c r="I71" i="41" s="1"/>
  <c r="I117" i="41" s="1"/>
  <c r="I35" i="41"/>
  <c r="I58" i="41" s="1"/>
  <c r="I46" i="41"/>
  <c r="I59" i="41" s="1"/>
  <c r="I81" i="41"/>
  <c r="I89" i="41" s="1"/>
  <c r="I138" i="34"/>
  <c r="B121" i="34"/>
  <c r="B119" i="34"/>
  <c r="B118" i="34"/>
  <c r="B117" i="34"/>
  <c r="B116" i="34"/>
  <c r="B115" i="34"/>
  <c r="H106" i="34"/>
  <c r="H110" i="34" s="1"/>
  <c r="H85" i="34"/>
  <c r="H81" i="34"/>
  <c r="H66" i="34"/>
  <c r="I53" i="34"/>
  <c r="I52" i="34"/>
  <c r="I51" i="34"/>
  <c r="H46" i="34"/>
  <c r="H35" i="34"/>
  <c r="I16" i="34"/>
  <c r="I138" i="33"/>
  <c r="B121" i="33"/>
  <c r="B119" i="33"/>
  <c r="B118" i="33"/>
  <c r="B117" i="33"/>
  <c r="B116" i="33"/>
  <c r="B115" i="33"/>
  <c r="H106" i="33"/>
  <c r="K107" i="33" s="1"/>
  <c r="K108" i="33" s="1"/>
  <c r="I100" i="33"/>
  <c r="I119" i="33" s="1"/>
  <c r="H85" i="33"/>
  <c r="H81" i="33"/>
  <c r="H66" i="33"/>
  <c r="I53" i="33"/>
  <c r="I52" i="33"/>
  <c r="I51" i="33"/>
  <c r="H46" i="33"/>
  <c r="H35" i="33"/>
  <c r="I16" i="33"/>
  <c r="I49" i="10"/>
  <c r="I91" i="32"/>
  <c r="H71" i="32"/>
  <c r="I65" i="32"/>
  <c r="H39" i="32"/>
  <c r="I32" i="32"/>
  <c r="I31" i="32"/>
  <c r="I92" i="46" l="1"/>
  <c r="I118" i="46" s="1"/>
  <c r="I91" i="46"/>
  <c r="I92" i="44"/>
  <c r="I118" i="44" s="1"/>
  <c r="I91" i="44"/>
  <c r="I92" i="45"/>
  <c r="I118" i="45" s="1"/>
  <c r="I91" i="45"/>
  <c r="I92" i="41"/>
  <c r="I118" i="41" s="1"/>
  <c r="I91" i="41"/>
  <c r="H44" i="32"/>
  <c r="H69" i="33"/>
  <c r="H34" i="33"/>
  <c r="H69" i="34"/>
  <c r="H71" i="34" s="1"/>
  <c r="H34" i="34"/>
  <c r="I61" i="46"/>
  <c r="I116" i="46" s="1"/>
  <c r="L21" i="46"/>
  <c r="L22" i="46" s="1"/>
  <c r="I61" i="44"/>
  <c r="I116" i="44" s="1"/>
  <c r="I61" i="45"/>
  <c r="I116" i="45" s="1"/>
  <c r="L21" i="45"/>
  <c r="L22" i="45" s="1"/>
  <c r="L21" i="44"/>
  <c r="L22" i="44" s="1"/>
  <c r="L21" i="41"/>
  <c r="L22" i="41" s="1"/>
  <c r="I61" i="41"/>
  <c r="I116" i="41" s="1"/>
  <c r="K107" i="34"/>
  <c r="K108" i="34" s="1"/>
  <c r="H110" i="33"/>
  <c r="I54" i="34"/>
  <c r="I60" i="34" s="1"/>
  <c r="I23" i="34"/>
  <c r="I28" i="34" s="1"/>
  <c r="I23" i="33"/>
  <c r="I28" i="33" s="1"/>
  <c r="I54" i="33"/>
  <c r="I60" i="33" s="1"/>
  <c r="H71" i="33"/>
  <c r="I51" i="10"/>
  <c r="I120" i="46" l="1"/>
  <c r="I104" i="46" s="1"/>
  <c r="I105" i="46" s="1"/>
  <c r="I120" i="41"/>
  <c r="I104" i="41" s="1"/>
  <c r="I105" i="41" s="1"/>
  <c r="I120" i="45"/>
  <c r="I104" i="45" s="1"/>
  <c r="I120" i="44"/>
  <c r="I104" i="44" s="1"/>
  <c r="I105" i="44" s="1"/>
  <c r="K109" i="44" s="1"/>
  <c r="K110" i="44" s="1"/>
  <c r="I100" i="34"/>
  <c r="I119" i="34" s="1"/>
  <c r="I39" i="34"/>
  <c r="I40" i="34"/>
  <c r="I42" i="34"/>
  <c r="I43" i="34"/>
  <c r="I34" i="34"/>
  <c r="I41" i="34"/>
  <c r="I44" i="34"/>
  <c r="I38" i="34"/>
  <c r="I45" i="34"/>
  <c r="I40" i="33"/>
  <c r="I41" i="33"/>
  <c r="I42" i="33"/>
  <c r="I34" i="33"/>
  <c r="I43" i="33"/>
  <c r="I44" i="33"/>
  <c r="I45" i="33"/>
  <c r="I38" i="33"/>
  <c r="I39" i="33"/>
  <c r="I115" i="34"/>
  <c r="I80" i="34"/>
  <c r="I70" i="34"/>
  <c r="I79" i="34"/>
  <c r="I67" i="34"/>
  <c r="I75" i="34"/>
  <c r="I69" i="34"/>
  <c r="I76" i="34"/>
  <c r="I65" i="34"/>
  <c r="I32" i="34"/>
  <c r="I78" i="34"/>
  <c r="I84" i="34"/>
  <c r="I85" i="34" s="1"/>
  <c r="I90" i="34" s="1"/>
  <c r="I77" i="34"/>
  <c r="I68" i="34"/>
  <c r="I33" i="34"/>
  <c r="I66" i="34"/>
  <c r="I115" i="33"/>
  <c r="I80" i="33"/>
  <c r="I70" i="33"/>
  <c r="I78" i="33"/>
  <c r="I84" i="33"/>
  <c r="I85" i="33" s="1"/>
  <c r="I90" i="33" s="1"/>
  <c r="I75" i="33"/>
  <c r="I79" i="33"/>
  <c r="I69" i="33"/>
  <c r="I76" i="33"/>
  <c r="I67" i="33"/>
  <c r="I65" i="33"/>
  <c r="I32" i="33"/>
  <c r="I77" i="33"/>
  <c r="I68" i="33"/>
  <c r="I33" i="33"/>
  <c r="I66" i="33"/>
  <c r="I35" i="33" l="1"/>
  <c r="I58" i="33" s="1"/>
  <c r="K109" i="46"/>
  <c r="K110" i="46" s="1"/>
  <c r="I109" i="44"/>
  <c r="I107" i="44"/>
  <c r="I108" i="44"/>
  <c r="I105" i="45"/>
  <c r="K109" i="45" s="1"/>
  <c r="K110" i="45" s="1"/>
  <c r="K109" i="41"/>
  <c r="K110" i="41" s="1"/>
  <c r="I35" i="34"/>
  <c r="I58" i="34" s="1"/>
  <c r="I81" i="33"/>
  <c r="I89" i="33" s="1"/>
  <c r="I71" i="34"/>
  <c r="I117" i="34" s="1"/>
  <c r="I81" i="34"/>
  <c r="I89" i="34" s="1"/>
  <c r="I71" i="33"/>
  <c r="I117" i="33" s="1"/>
  <c r="I53" i="10"/>
  <c r="I92" i="34" l="1"/>
  <c r="I118" i="34" s="1"/>
  <c r="I91" i="34"/>
  <c r="I92" i="33"/>
  <c r="I118" i="33" s="1"/>
  <c r="I91" i="33"/>
  <c r="I109" i="46"/>
  <c r="I108" i="46"/>
  <c r="I107" i="46"/>
  <c r="I110" i="44"/>
  <c r="I121" i="44" s="1"/>
  <c r="I122" i="44" s="1"/>
  <c r="I123" i="44" s="1"/>
  <c r="I124" i="44" s="1"/>
  <c r="I108" i="45"/>
  <c r="I107" i="45"/>
  <c r="I126" i="45" s="1"/>
  <c r="I129" i="45" s="1"/>
  <c r="I109" i="45"/>
  <c r="I108" i="41"/>
  <c r="I109" i="41"/>
  <c r="I107" i="41"/>
  <c r="H66" i="10"/>
  <c r="I137" i="46" l="1"/>
  <c r="I140" i="46" s="1"/>
  <c r="I110" i="46"/>
  <c r="I110" i="45"/>
  <c r="I137" i="41"/>
  <c r="I140" i="41" s="1"/>
  <c r="I110" i="41"/>
  <c r="I46" i="34"/>
  <c r="I46" i="33"/>
  <c r="H81" i="10"/>
  <c r="I121" i="46" l="1"/>
  <c r="I122" i="46" s="1"/>
  <c r="I123" i="46" s="1"/>
  <c r="I133" i="46" s="1"/>
  <c r="I52" i="47" s="1"/>
  <c r="I139" i="46"/>
  <c r="I128" i="45"/>
  <c r="I121" i="45"/>
  <c r="I122" i="45" s="1"/>
  <c r="I131" i="45" s="1"/>
  <c r="I132" i="45" s="1"/>
  <c r="I121" i="41"/>
  <c r="I122" i="41" s="1"/>
  <c r="D10" i="42" s="1"/>
  <c r="E22" i="42" s="1"/>
  <c r="I139" i="41"/>
  <c r="I59" i="34"/>
  <c r="I61" i="34" s="1"/>
  <c r="I116" i="34" s="1"/>
  <c r="I120" i="34" s="1"/>
  <c r="L21" i="34"/>
  <c r="L22" i="34" s="1"/>
  <c r="I59" i="33"/>
  <c r="I61" i="33" s="1"/>
  <c r="I116" i="33" s="1"/>
  <c r="I120" i="33" s="1"/>
  <c r="L21" i="33"/>
  <c r="L22" i="33" s="1"/>
  <c r="I16" i="10"/>
  <c r="F147" i="46" l="1"/>
  <c r="G147" i="46" s="1"/>
  <c r="I38" i="47"/>
  <c r="D41" i="42"/>
  <c r="E41" i="42"/>
  <c r="E45" i="42" s="1"/>
  <c r="E20" i="42"/>
  <c r="E15" i="42"/>
  <c r="E12" i="42"/>
  <c r="E14" i="42"/>
  <c r="E19" i="42"/>
  <c r="E10" i="42"/>
  <c r="E11" i="42"/>
  <c r="E13" i="42"/>
  <c r="E16" i="42"/>
  <c r="E18" i="42"/>
  <c r="E21" i="42"/>
  <c r="E17" i="42"/>
  <c r="I104" i="34"/>
  <c r="I104" i="33"/>
  <c r="I105" i="33" s="1"/>
  <c r="K109" i="33" s="1"/>
  <c r="K110" i="33" s="1"/>
  <c r="I138" i="10"/>
  <c r="B121" i="10"/>
  <c r="B119" i="10"/>
  <c r="B118" i="10"/>
  <c r="B117" i="10"/>
  <c r="B116" i="10"/>
  <c r="B115" i="10"/>
  <c r="H106" i="10"/>
  <c r="K107" i="10" s="1"/>
  <c r="K108" i="10" s="1"/>
  <c r="H85" i="10"/>
  <c r="H46" i="10"/>
  <c r="H35" i="10"/>
  <c r="E26" i="42" l="1"/>
  <c r="H69" i="10"/>
  <c r="H71" i="10" s="1"/>
  <c r="H34" i="10"/>
  <c r="I105" i="34"/>
  <c r="K109" i="34" s="1"/>
  <c r="K110" i="34" s="1"/>
  <c r="I108" i="33"/>
  <c r="I107" i="33"/>
  <c r="I137" i="33" s="1"/>
  <c r="I140" i="33" s="1"/>
  <c r="I109" i="33"/>
  <c r="I52" i="10"/>
  <c r="H110" i="10"/>
  <c r="I23" i="10"/>
  <c r="I28" i="10" s="1"/>
  <c r="I34" i="10" l="1"/>
  <c r="I39" i="10"/>
  <c r="I40" i="10"/>
  <c r="I38" i="10"/>
  <c r="I41" i="10"/>
  <c r="I44" i="10"/>
  <c r="I42" i="10"/>
  <c r="I43" i="10"/>
  <c r="I45" i="10"/>
  <c r="I90" i="32"/>
  <c r="I93" i="32" s="1"/>
  <c r="I108" i="34"/>
  <c r="I109" i="34"/>
  <c r="I107" i="34"/>
  <c r="I137" i="34" s="1"/>
  <c r="I140" i="34" s="1"/>
  <c r="I110" i="33"/>
  <c r="I119" i="10"/>
  <c r="I54" i="10"/>
  <c r="I60" i="10" s="1"/>
  <c r="I33" i="10"/>
  <c r="I32" i="10"/>
  <c r="I65" i="10"/>
  <c r="I115" i="10"/>
  <c r="I80" i="10"/>
  <c r="I84" i="10"/>
  <c r="I85" i="10" s="1"/>
  <c r="I90" i="10" s="1"/>
  <c r="I77" i="10"/>
  <c r="I70" i="10"/>
  <c r="I79" i="10"/>
  <c r="I66" i="10"/>
  <c r="I78" i="10"/>
  <c r="I67" i="10"/>
  <c r="I68" i="10"/>
  <c r="I75" i="10"/>
  <c r="I76" i="10"/>
  <c r="I69" i="10"/>
  <c r="I35" i="10" l="1"/>
  <c r="I58" i="10" s="1"/>
  <c r="I92" i="32"/>
  <c r="I110" i="34"/>
  <c r="I121" i="34" s="1"/>
  <c r="I122" i="34" s="1"/>
  <c r="I139" i="33"/>
  <c r="I121" i="33"/>
  <c r="I122" i="33" s="1"/>
  <c r="I81" i="10"/>
  <c r="I89" i="10" s="1"/>
  <c r="I71" i="10"/>
  <c r="I92" i="10" l="1"/>
  <c r="I118" i="10" s="1"/>
  <c r="I91" i="10"/>
  <c r="D6" i="42"/>
  <c r="E6" i="42" s="1"/>
  <c r="F6" i="42" s="1"/>
  <c r="D37" i="42"/>
  <c r="D36" i="42"/>
  <c r="D5" i="42"/>
  <c r="I139" i="34"/>
  <c r="I117" i="10"/>
  <c r="E5" i="42" l="1"/>
  <c r="F5" i="42" s="1"/>
  <c r="F7" i="42" s="1"/>
  <c r="E24" i="42" s="1"/>
  <c r="E28" i="42" s="1"/>
  <c r="E36" i="42"/>
  <c r="F36" i="42" s="1"/>
  <c r="E37" i="42"/>
  <c r="F37" i="42" s="1"/>
  <c r="G146" i="46"/>
  <c r="G148" i="46" s="1"/>
  <c r="I46" i="10"/>
  <c r="L21" i="10" s="1"/>
  <c r="L22" i="10" s="1"/>
  <c r="I53" i="47" l="1"/>
  <c r="F38" i="42"/>
  <c r="E43" i="42" s="1"/>
  <c r="E47" i="42" s="1"/>
  <c r="I59" i="10"/>
  <c r="I61" i="10" s="1"/>
  <c r="I116" i="10" s="1"/>
  <c r="I120" i="10" s="1"/>
  <c r="I104" i="10" s="1"/>
  <c r="I105" i="10" s="1"/>
  <c r="K109" i="10" s="1"/>
  <c r="K110" i="10" s="1"/>
  <c r="I107" i="10" s="1"/>
  <c r="I137" i="10" s="1"/>
  <c r="I140" i="10" s="1"/>
  <c r="I36" i="47" l="1"/>
  <c r="I37" i="47"/>
  <c r="I108" i="10"/>
  <c r="I109" i="10"/>
  <c r="I39" i="47" l="1"/>
  <c r="I110" i="10"/>
  <c r="I139" i="10" s="1"/>
  <c r="I121" i="10" l="1"/>
  <c r="I122" i="10" s="1"/>
  <c r="R6" i="47" l="1"/>
  <c r="S6" i="47" s="1"/>
  <c r="S12" i="47" s="1"/>
  <c r="D10" i="58"/>
  <c r="M8" i="47"/>
  <c r="E148" i="10"/>
  <c r="G148" i="10" s="1"/>
  <c r="H149" i="10" s="1"/>
  <c r="E10" i="58" s="1"/>
  <c r="F8" i="47" l="1"/>
  <c r="H18" i="47" l="1"/>
  <c r="J18" i="47" s="1"/>
  <c r="J22" i="47" s="1"/>
  <c r="H8" i="47"/>
  <c r="J8" i="47" s="1"/>
  <c r="J14" i="47" s="1"/>
  <c r="M14" i="47" l="1"/>
  <c r="I29" i="47"/>
  <c r="I55" i="47" s="1"/>
  <c r="L58" i="47" l="1"/>
  <c r="C6" i="58" s="1"/>
  <c r="C5" i="58" s="1"/>
  <c r="C3" i="58" s="1"/>
  <c r="H19" i="60"/>
  <c r="M57" i="47"/>
  <c r="J78" i="56" s="1"/>
  <c r="I104" i="56"/>
  <c r="H19" i="57"/>
  <c r="K103" i="62" l="1"/>
  <c r="K103" i="64"/>
  <c r="K103" i="61"/>
  <c r="K103" i="66"/>
  <c r="K103" i="65"/>
  <c r="K103" i="41"/>
  <c r="K103" i="59"/>
  <c r="K103" i="10"/>
  <c r="K103" i="53"/>
  <c r="K103" i="49"/>
  <c r="K103" i="45"/>
  <c r="K103" i="50"/>
  <c r="K103" i="34"/>
  <c r="K103" i="46"/>
  <c r="K103" i="33"/>
  <c r="K103" i="51"/>
  <c r="K103" i="52"/>
  <c r="K103" i="44"/>
  <c r="K103" i="48"/>
</calcChain>
</file>

<file path=xl/sharedStrings.xml><?xml version="1.0" encoding="utf-8"?>
<sst xmlns="http://schemas.openxmlformats.org/spreadsheetml/2006/main" count="5095" uniqueCount="491">
  <si>
    <t>Discriminação dos Serviços</t>
  </si>
  <si>
    <t>A</t>
  </si>
  <si>
    <t>Data de apresentação da proposta</t>
  </si>
  <si>
    <t>B</t>
  </si>
  <si>
    <t>Município/UF</t>
  </si>
  <si>
    <t>C</t>
  </si>
  <si>
    <t>Ano do Acordo, Convenção ou Dissídio Coletivo</t>
  </si>
  <si>
    <t>D</t>
  </si>
  <si>
    <t>Nº de meses de execução contratual</t>
  </si>
  <si>
    <t>Identificação do Serviço</t>
  </si>
  <si>
    <t>Tipo de Serviço</t>
  </si>
  <si>
    <t>Unidade de Medida</t>
  </si>
  <si>
    <t>Quantidade total a contratar (em função da unidade de medida)</t>
  </si>
  <si>
    <t>Dados para composição dos custos referentes à mão-de-obra</t>
  </si>
  <si>
    <t>Tipo de serviço (mesmo serviço com características distintas)</t>
  </si>
  <si>
    <t>Classificação Brasileira de Ocupações (CBO)</t>
  </si>
  <si>
    <t>Salário Nominativo da Categoria Profissional</t>
  </si>
  <si>
    <t>Categoria profissional (vinculada à execução contratual)</t>
  </si>
  <si>
    <t>Data base da categoria (dia/mês/ano)</t>
  </si>
  <si>
    <t>MÓDULO 1 - COMPOSIÇÃO DA REMUNERAÇÃO</t>
  </si>
  <si>
    <t>COMPOSIÇÃO DA REMUNERAÇÃO</t>
  </si>
  <si>
    <t>%</t>
  </si>
  <si>
    <t>VALOR (R$)</t>
  </si>
  <si>
    <t>Salário Base</t>
  </si>
  <si>
    <t>Adicional Periculosidade</t>
  </si>
  <si>
    <t>Adicional Insalubridade</t>
  </si>
  <si>
    <t>Adicional Noturno</t>
  </si>
  <si>
    <t>E</t>
  </si>
  <si>
    <t>Adicional de Hora Noturna Reduzida</t>
  </si>
  <si>
    <t>F</t>
  </si>
  <si>
    <t>Adicional de Hora Extra no Feriado Trabalhado</t>
  </si>
  <si>
    <t>G</t>
  </si>
  <si>
    <t>Outros (especificar)</t>
  </si>
  <si>
    <t>TOTAL DO MÓDULO 1</t>
  </si>
  <si>
    <t>MÓDULO 2 – ENCARGOS E BENEFÍCIOS ANUAIS, MENSAIS E DIÁRIOS</t>
  </si>
  <si>
    <t>Submódulo 2.1 - 13º Salário, Férias e Adicional de Férias</t>
  </si>
  <si>
    <r>
      <t>13 (Décimo-terceiro) salário</t>
    </r>
    <r>
      <rPr>
        <sz val="10"/>
        <color rgb="FFFF0000"/>
        <rFont val="Arial"/>
        <family val="2"/>
        <charset val="1"/>
      </rPr>
      <t xml:space="preserve"> </t>
    </r>
  </si>
  <si>
    <t>TOTAL SUBMÓDULO 2.1</t>
  </si>
  <si>
    <t>Submódulo 2.2 - GPS, FGTS e Outras Contribuições</t>
  </si>
  <si>
    <t>INSS</t>
  </si>
  <si>
    <t>Salário Educação</t>
  </si>
  <si>
    <t>SAT (Seguro Acidente de Trabalho)</t>
  </si>
  <si>
    <t>SESC ou SESI</t>
  </si>
  <si>
    <t>SENAI - SENAC</t>
  </si>
  <si>
    <t>SEBRAE</t>
  </si>
  <si>
    <t>INCRA</t>
  </si>
  <si>
    <t>H</t>
  </si>
  <si>
    <t>FGTS</t>
  </si>
  <si>
    <t>TOTAL SUBMÓDULO 2.2</t>
  </si>
  <si>
    <t>Submódulo 2.3 - Benefícios Mensais e Diários</t>
  </si>
  <si>
    <t>-</t>
  </si>
  <si>
    <t>TOTAL SUBMÓDULO 2.3</t>
  </si>
  <si>
    <t>QUADRO-RESUMO DO MÓDULO 2 - ENCARGOS, BENEFÍCIOS ANUAIS, MENSAIS E DIÁRIOS</t>
  </si>
  <si>
    <t>Módulo 2 - Encargos, Benefícios Anuais, Mensais e Diários</t>
  </si>
  <si>
    <t>2.1</t>
  </si>
  <si>
    <t>13º Salário, Férias e Adicional de Férias</t>
  </si>
  <si>
    <t>2.2</t>
  </si>
  <si>
    <t>GPS, FGTS e Outras Contribuições</t>
  </si>
  <si>
    <t>2.3</t>
  </si>
  <si>
    <t>Benefícios Mensais e Diários</t>
  </si>
  <si>
    <t>TOTAL DO MÓDULO 2</t>
  </si>
  <si>
    <t>MÓDULO 3 – PROVISÃO PARA RESCISÃO</t>
  </si>
  <si>
    <t>PROVISÃO PARA RESCISÃO</t>
  </si>
  <si>
    <t>Aviso Prévio Indenizado</t>
  </si>
  <si>
    <t>Incidência do FGTS sobre Aviso Prévio Indenizado</t>
  </si>
  <si>
    <t>Multa do FGTS e Contribuição Social sobre o Aviso Prévio Indenizado</t>
  </si>
  <si>
    <t>Aviso Prévio Trabalhado</t>
  </si>
  <si>
    <t>Incidência dos encargos do submódulo 2.2 sobre Aviso Prévio Trabalhado</t>
  </si>
  <si>
    <t>Multa do FGTS e Contribuição Social sobre o Aviso Prévio Trabalhado.</t>
  </si>
  <si>
    <t>TOTAL DO MÓDULO 3</t>
  </si>
  <si>
    <t>MÓDULO 4 – CUSTO DE REPOSIÇÃO DO PROFISSIONAL AUSENTE</t>
  </si>
  <si>
    <t>Submódulo 4.1 - Ausências Legais</t>
  </si>
  <si>
    <t>TOTAL SUBMÓDULO 4.1</t>
  </si>
  <si>
    <t>Submódulo 4.2 - Intrajornada</t>
  </si>
  <si>
    <t>TOTAL SUBMÓDULO 4.2</t>
  </si>
  <si>
    <t>QUADRO-RESUMO DO MÓDULO 4 - CUSTO DE REPOSIÇÃO DO PROFISSIONAL AUSENTE</t>
  </si>
  <si>
    <t>Módulo 4 - Custo de Reposição do Profissional Ausente</t>
  </si>
  <si>
    <t>4.1</t>
  </si>
  <si>
    <t>4.2</t>
  </si>
  <si>
    <t>TOTAL DO MÓDULO 4</t>
  </si>
  <si>
    <t>MÓDULO 5 – INSUMOS DIVERSOS</t>
  </si>
  <si>
    <t>INSUMOS DIVERSOS</t>
  </si>
  <si>
    <t>Uniformes</t>
  </si>
  <si>
    <t>Materiais</t>
  </si>
  <si>
    <t>Equipamentos</t>
  </si>
  <si>
    <t>TOTAL DO MÓDULO 5</t>
  </si>
  <si>
    <t>MÓDULO 6 – CUSTOS INDIRETOS, TRIBUTOS E LUCRO</t>
  </si>
  <si>
    <t>CUSTOS INDIRETOS, TRIBUTOS E LUCRO</t>
  </si>
  <si>
    <t>Custos Indiretos</t>
  </si>
  <si>
    <t>Lucro</t>
  </si>
  <si>
    <t>TRIBUTOS</t>
  </si>
  <si>
    <t>C.1</t>
  </si>
  <si>
    <t>PIS</t>
  </si>
  <si>
    <t>C.2</t>
  </si>
  <si>
    <t>COFINS</t>
  </si>
  <si>
    <t>C.3</t>
  </si>
  <si>
    <t>ISS</t>
  </si>
  <si>
    <t>TOTAL DO MÓDULO 6</t>
  </si>
  <si>
    <t>QUADRO RESUMO DO CUSTO POR EMPREGADO</t>
  </si>
  <si>
    <t>Mão-de-Obra vinculada à execução contratual (valor por empregado)</t>
  </si>
  <si>
    <t>Subtotal (A + B + C + D + E)</t>
  </si>
  <si>
    <t>PREÇO TOTAL POR EMPREGADO</t>
  </si>
  <si>
    <t>Quadro Resumo - VALOR MENSAL DOS SERVIÇOS</t>
  </si>
  <si>
    <t>Tipo de Serviço (A)</t>
  </si>
  <si>
    <t>Valor Por Empregado(B)</t>
  </si>
  <si>
    <t>Qde de Empregados por posto ( C )</t>
  </si>
  <si>
    <t>Valor Proposto por Posto (D) = (B x C)</t>
  </si>
  <si>
    <t>Qde Postos (E)</t>
  </si>
  <si>
    <t>Serviço 1 (indicar)</t>
  </si>
  <si>
    <t>R$</t>
  </si>
  <si>
    <t>Serviço 2 (indicar)</t>
  </si>
  <si>
    <t>Serviço 3 (indicar)</t>
  </si>
  <si>
    <t>Serviço ... (indicar)</t>
  </si>
  <si>
    <t>VALOR MENSAL DOS SERVIÇOS (I + II + III + ...)</t>
  </si>
  <si>
    <t>Anexo III-D</t>
  </si>
  <si>
    <t>Quadro Demonstrativo - VALOR GLOBAL DA PROPOSTA</t>
  </si>
  <si>
    <t>VALOR GLOBAL DA PROPOSTA</t>
  </si>
  <si>
    <t>Descrição</t>
  </si>
  <si>
    <t>Valor proposto por unidade de medida*</t>
  </si>
  <si>
    <t>Valor mensal do serviço</t>
  </si>
  <si>
    <t>Valor Global da Proposta (valor mensal do serviço X nº meses do contrato).</t>
  </si>
  <si>
    <t>TOTAL</t>
  </si>
  <si>
    <t>Nota(1):</t>
  </si>
  <si>
    <t>Informar o valor da unidade de medida por tipo de serviço.</t>
  </si>
  <si>
    <r>
      <t>Auxílio-Refeição/Alimentação</t>
    </r>
    <r>
      <rPr>
        <sz val="7"/>
        <rFont val="Arial"/>
        <family val="2"/>
      </rPr>
      <t xml:space="preserve"> (Valor do VR CCT x qtd dias trabalhados)</t>
    </r>
  </si>
  <si>
    <r>
      <t xml:space="preserve">Transporte </t>
    </r>
    <r>
      <rPr>
        <sz val="7"/>
        <rFont val="Arial"/>
        <family val="2"/>
      </rPr>
      <t>(custo da passagem x nº passagem p/dia x qtd dias trabalhados) - (6% da remuneração)</t>
    </r>
  </si>
  <si>
    <t>saúde</t>
  </si>
  <si>
    <t>odonto</t>
  </si>
  <si>
    <t xml:space="preserve">Outros </t>
  </si>
  <si>
    <t>ASG</t>
  </si>
  <si>
    <t>MOTORISTA</t>
  </si>
  <si>
    <t>Obreiro</t>
  </si>
  <si>
    <t>c</t>
  </si>
  <si>
    <t>Incidência do submódulo 2.2 sobre o 2.1</t>
  </si>
  <si>
    <t>ENCARREGADO</t>
  </si>
  <si>
    <t>ASG MUTIRAO</t>
  </si>
  <si>
    <t>KM RODADO</t>
  </si>
  <si>
    <t>MUTIRAO 01</t>
  </si>
  <si>
    <t>MUTIRAO 02</t>
  </si>
  <si>
    <t>DESLOCAMENTO</t>
  </si>
  <si>
    <t>SERVENTE</t>
  </si>
  <si>
    <t>TIPO</t>
  </si>
  <si>
    <t>QDADE</t>
  </si>
  <si>
    <t>VALOR DO POSTO</t>
  </si>
  <si>
    <t>VALOR POR MUTIRAO</t>
  </si>
  <si>
    <t>TOTAL ANUAL</t>
  </si>
  <si>
    <t>TOTAL DA MÃO DE OBRA</t>
  </si>
  <si>
    <t>CUSTO POR KM</t>
  </si>
  <si>
    <t>ARAPIRACA 129</t>
  </si>
  <si>
    <t>CORURIPE 88</t>
  </si>
  <si>
    <t>OLHO D'ÁGUA 205</t>
  </si>
  <si>
    <t>PÃO DE AÇUCAR 232</t>
  </si>
  <si>
    <t>PENEDO 166</t>
  </si>
  <si>
    <t>PIRANHAS 269</t>
  </si>
  <si>
    <t>RIO LARGO 29</t>
  </si>
  <si>
    <t>MARECHAL DEODORO 33</t>
  </si>
  <si>
    <t>PALMEIRA DOS ÍNDIOS 134</t>
  </si>
  <si>
    <t>PASSO DE CAMARAGIBE 75</t>
  </si>
  <si>
    <t>SÃO MIGUEL DOS CAMPOS 56</t>
  </si>
  <si>
    <t>SANTANA DO IPANEMA 226</t>
  </si>
  <si>
    <t>KM</t>
  </si>
  <si>
    <t>UNITÁRIO</t>
  </si>
  <si>
    <t>TOTAL DA MAO DE OBRA</t>
  </si>
  <si>
    <t>TOTAL DO KM RODADO</t>
  </si>
  <si>
    <t>TOTAL MULTIRAO 01</t>
  </si>
  <si>
    <t>Outros  - DESLOCAMENTO</t>
  </si>
  <si>
    <t>Outros - DESLOCAMENTO</t>
  </si>
  <si>
    <t>QUILOMETRO
RODADO</t>
  </si>
  <si>
    <t>DESLOCAMENTO COM PERNOITE</t>
  </si>
  <si>
    <t>DESLOCAMENTO SEM PERNOITE</t>
  </si>
  <si>
    <t>MENSAL</t>
  </si>
  <si>
    <t>ANUAL</t>
  </si>
  <si>
    <t>ÁREA DE ESQUADRIAS - FACES</t>
  </si>
  <si>
    <t>MÃO-DE-OBRA</t>
  </si>
  <si>
    <t>(1)                         PRODUTIVI-              DADE                (1/M²)</t>
  </si>
  <si>
    <t>(2)                     FREQUÊNCIA                   NO MÊS                         (HORAS)</t>
  </si>
  <si>
    <t>(3)                             JORNADA DE TRABALHO                                    NO MÊS                            (HORAS)</t>
  </si>
  <si>
    <t>(4)                             (1x2x3)                                              Ki</t>
  </si>
  <si>
    <t>(5)                          PREÇO HOMEM-MÊS          (R$)</t>
  </si>
  <si>
    <t>(4x5)                             SUBTOTAL                            (R$/M²)</t>
  </si>
  <si>
    <t>ENCARREGADA(O)</t>
  </si>
  <si>
    <t>TOTAL:</t>
  </si>
  <si>
    <t>UNIAO DOS PALMARES 77</t>
  </si>
  <si>
    <t>ALAGOAS</t>
  </si>
  <si>
    <t>LIMPEZA</t>
  </si>
  <si>
    <t>Adicional de Férias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</si>
  <si>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</si>
  <si>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</si>
  <si>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</si>
  <si>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</si>
  <si>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</si>
  <si>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Outras ausências (especificar)</t>
  </si>
  <si>
    <t>Substituto na cobertura de Intervalo para repouso ou alimentação</t>
  </si>
  <si>
    <t>Substituto nas Ausências Legais</t>
  </si>
  <si>
    <t>Substituto na Intrajornada</t>
  </si>
  <si>
    <t>Incidência do submódulo 2.2 sobre módulo 4</t>
  </si>
  <si>
    <t>ANEXO VII
MODELO DE CONSOLIDAÇÃO DOS CUSTOS</t>
  </si>
  <si>
    <t>RESUMO DA PROPOSTA</t>
  </si>
  <si>
    <t>MÃO DE OBRA CAPITAL</t>
  </si>
  <si>
    <t>AREA AJUSTADA</t>
  </si>
  <si>
    <t xml:space="preserve">VALOR DO METRO </t>
  </si>
  <si>
    <t>VALOR MENSAL</t>
  </si>
  <si>
    <t>AREA INTERNA</t>
  </si>
  <si>
    <t>AREA EXTERNA</t>
  </si>
  <si>
    <t>AREA HOSPITALAR</t>
  </si>
  <si>
    <t>AREA BANHEIRO</t>
  </si>
  <si>
    <t>AREA ESQUADRIA</t>
  </si>
  <si>
    <t>AREA AJARDINADA</t>
  </si>
  <si>
    <t>MÃO DE OBRA INTERIOR</t>
  </si>
  <si>
    <t>QDADE DE POSTOS</t>
  </si>
  <si>
    <t>MUTIRÕES E DESLOCAMENTOS POR DEMANDA</t>
  </si>
  <si>
    <t>MUTIRÃO TIPO 1</t>
  </si>
  <si>
    <t>MUTIRÃO TIPO 2</t>
  </si>
  <si>
    <t>TOTAL DE MUTIRÕES</t>
  </si>
  <si>
    <t>MATERIAL</t>
  </si>
  <si>
    <t>MATERIAL POR DEMANDA</t>
  </si>
  <si>
    <t>TOTAL DE MATERIAL</t>
  </si>
  <si>
    <t>LIMPEZA DE ESQUADRIAS POR DEMANDA</t>
  </si>
  <si>
    <t>TOTAL LIMPEZA DE ESQUADRIAS POR DEMANDA</t>
  </si>
  <si>
    <t>TOTAL ANUAL DA CONTRATAÇÃO</t>
  </si>
  <si>
    <t xml:space="preserve">CONFORME CCT </t>
  </si>
  <si>
    <t>ASG BANHEIRO 40%             ASG HOSPITALAR 20%</t>
  </si>
  <si>
    <t>PERCENTUAL FIXADO POR LEI</t>
  </si>
  <si>
    <t>PERCENTUAL FXADO POR LEI</t>
  </si>
  <si>
    <t>SAT (Seguro Acidente de Trabalho) (2,00 X 1,0085) comprovação anexa</t>
  </si>
  <si>
    <t xml:space="preserve"> conforme decreto  anexo</t>
  </si>
  <si>
    <t xml:space="preserve">Conforme CCT o valor unitário  19,00 x 22 (dias) - 20% desconto </t>
  </si>
  <si>
    <t>conforme cct CLÁUSULA DÉCIMA PRIMEIRA - DO BENEFÍCIO SOCIAL OBREIRO</t>
  </si>
  <si>
    <t>( art. 7º, XXI, CF e 477, 487 e 491, CLT) (2) ((1/12)x 0,05) x 100 =0,42 %</t>
  </si>
  <si>
    <t>[(1 salário integral / 30 dias) x 7 dias] / 12 meses = 1,94%</t>
  </si>
  <si>
    <t xml:space="preserve"> (1 dia/30 dias) x (1/12 meses) = 0,0028 = 0,28%</t>
  </si>
  <si>
    <t xml:space="preserve"> Decreto-Lei 5.452/43 CLT, Art. 129, Inciso 1° do Art Decreto-Lei 5.452/43 CLT, Art. 129, Inciso 1° do Art</t>
  </si>
  <si>
    <t>Art. 18 § 1º da Lei 8.036/90, Art. 12 da Lei n
°13.932/2019</t>
  </si>
  <si>
    <t>((5/30)/12) x 0,015 x 100 = 0,02%</t>
  </si>
  <si>
    <t>((15/30)/12) x 0,0078 x 100 = 0,03%.</t>
  </si>
  <si>
    <t>[(0,1111 x 0,02 x 0,333) x 100] = [0,0007 x 100] = 0,07%</t>
  </si>
  <si>
    <t>Percentual multiplicado pela soma dos modulos 1, 2, 3 e 4</t>
  </si>
  <si>
    <t>Percentual multiplicado pela soma dos modulos 1, 2, 3 , 4 e custos indiretos</t>
  </si>
  <si>
    <t>Percentual multiplicado sobre o total do faturamento</t>
  </si>
  <si>
    <t>PIS conforme comprovante anexo</t>
  </si>
  <si>
    <t>COFINS conforme comprovante anexo</t>
  </si>
  <si>
    <t>ISS conforme comprovante anexo</t>
  </si>
  <si>
    <t xml:space="preserve">Áreas Internas Pisos frios = PRODUTIVIDADE DE 800 M2 PARA 01 (UMA) SERVENTE DE 8 HS </t>
  </si>
  <si>
    <t>MÃO DE OBRA</t>
  </si>
  <si>
    <t>PRODUTIVIDADE</t>
  </si>
  <si>
    <t>PREÇO HOMEM/HORA</t>
  </si>
  <si>
    <t>SUB - TOTAL</t>
  </si>
  <si>
    <t>01  (1 / M2)</t>
  </si>
  <si>
    <t>02       R$</t>
  </si>
  <si>
    <t>1 X 2</t>
  </si>
  <si>
    <t>Preço Unitário Mensal por M2</t>
  </si>
  <si>
    <t>ESPECIFICAÇÃO</t>
  </si>
  <si>
    <r>
      <rPr>
        <b/>
        <sz val="12"/>
        <color rgb="FF221F1F"/>
        <rFont val="Arial"/>
        <family val="2"/>
      </rPr>
      <t>ITEM</t>
    </r>
  </si>
  <si>
    <r>
      <rPr>
        <b/>
        <sz val="12"/>
        <color rgb="FF221F1F"/>
        <rFont val="Arial"/>
        <family val="2"/>
      </rPr>
      <t>QTDE POR
CONJUNTO</t>
    </r>
  </si>
  <si>
    <r>
      <rPr>
        <b/>
        <sz val="12"/>
        <color rgb="FF221F1F"/>
        <rFont val="Arial"/>
        <family val="2"/>
      </rPr>
      <t>VL UNTI
R$</t>
    </r>
  </si>
  <si>
    <r>
      <rPr>
        <b/>
        <sz val="12"/>
        <color rgb="FF221F1F"/>
        <rFont val="Arial"/>
        <family val="2"/>
      </rPr>
      <t>VL TOTAL
R$</t>
    </r>
  </si>
  <si>
    <r>
      <rPr>
        <sz val="12"/>
        <color rgb="FF221F1F"/>
        <rFont val="Arial"/>
        <family val="2"/>
      </rPr>
      <t>Calça comprida (masculina ou  feminina) com elástico e cordão, tecido Oxford 100% poliéster, cor definida pela
empresa.</t>
    </r>
  </si>
  <si>
    <r>
      <rPr>
        <sz val="12"/>
        <color rgb="FF221F1F"/>
        <rFont val="Arial"/>
        <family val="2"/>
      </rPr>
      <t>Camisa polo (masculina ou feminina) em  malha pv, com  gola 100%  poliéster fibra padrão 41, com emblema da empresa bordado e cor definida pela empresa.</t>
    </r>
  </si>
  <si>
    <r>
      <rPr>
        <sz val="12"/>
        <color rgb="FF221F1F"/>
        <rFont val="Arial"/>
        <family val="2"/>
      </rPr>
      <t>Meia preta em algodão, cor</t>
    </r>
  </si>
  <si>
    <r>
      <rPr>
        <sz val="12"/>
        <color rgb="FF221F1F"/>
        <rFont val="Arial"/>
        <family val="2"/>
      </rPr>
      <t>Botas de couro sintético, cano curto, com biqueira, solado de
borracha e elástico lateral.</t>
    </r>
  </si>
  <si>
    <r>
      <rPr>
        <sz val="12"/>
        <color rgb="FF221F1F"/>
        <rFont val="Arial"/>
        <family val="2"/>
      </rPr>
      <t>Crachá  com   identificação do funcionário</t>
    </r>
  </si>
  <si>
    <r>
      <rPr>
        <b/>
        <sz val="12"/>
        <color rgb="FF221F1F"/>
        <rFont val="Arial"/>
        <family val="2"/>
      </rPr>
      <t xml:space="preserve">VALOR TOTAL
</t>
    </r>
    <r>
      <rPr>
        <b/>
        <sz val="12"/>
        <rFont val="Arial"/>
        <family val="2"/>
      </rPr>
      <t>Valor/6</t>
    </r>
  </si>
  <si>
    <r>
      <rPr>
        <b/>
        <sz val="12"/>
        <color rgb="FF221F1F"/>
        <rFont val="Arial"/>
        <family val="2"/>
      </rPr>
      <t>ESPECIFICAÇÃO</t>
    </r>
  </si>
  <si>
    <r>
      <rPr>
        <sz val="12"/>
        <color rgb="FF221F1F"/>
        <rFont val="Arial"/>
        <family val="2"/>
      </rPr>
      <t>Calça social (masculina ou feminina),   tecido   Oxford
100% poliéster, cor preta.</t>
    </r>
  </si>
  <si>
    <r>
      <rPr>
        <sz val="12"/>
        <color rgb="FF221F1F"/>
        <rFont val="Arial"/>
        <family val="2"/>
      </rPr>
      <t>Camisa  social  (masculina ou       feminina),       tecido microfibra 100% poliéster, com  emblema  da  empresa
bordado e cor definida pela empresa.</t>
    </r>
  </si>
  <si>
    <r>
      <rPr>
        <sz val="12"/>
        <color rgb="FF221F1F"/>
        <rFont val="Arial"/>
        <family val="2"/>
      </rPr>
      <t>Cinto social (masculino ou feminino)</t>
    </r>
  </si>
  <si>
    <r>
      <rPr>
        <sz val="12"/>
        <color rgb="FF221F1F"/>
        <rFont val="Arial"/>
        <family val="2"/>
      </rPr>
      <t>Meia Preta em algodão,  cor</t>
    </r>
  </si>
  <si>
    <r>
      <rPr>
        <sz val="12"/>
        <color rgb="FF221F1F"/>
        <rFont val="Arial"/>
        <family val="2"/>
      </rPr>
      <t>Sapato   social   (masculino ou feminino), cor preta</t>
    </r>
  </si>
  <si>
    <t>ITEM</t>
  </si>
  <si>
    <t>UND</t>
  </si>
  <si>
    <t>DESCRIÇÃO DO MATERIAL</t>
  </si>
  <si>
    <t>MODELO</t>
  </si>
  <si>
    <r>
      <rPr>
        <b/>
        <sz val="12"/>
        <rFont val="Times New Roman"/>
        <family val="1"/>
      </rPr>
      <t>QT (TR)
ANUAL</t>
    </r>
  </si>
  <si>
    <r>
      <rPr>
        <b/>
        <sz val="12"/>
        <rFont val="Times New Roman"/>
        <family val="1"/>
      </rPr>
      <t>VL UNTI
R$</t>
    </r>
  </si>
  <si>
    <r>
      <rPr>
        <sz val="12"/>
        <rFont val="Times New Roman"/>
        <family val="1"/>
      </rPr>
      <t>Alicate     Tesoura     para     poda profissional   para jardim,   com cabo  revestido  de  pvc,  de  no mínimo 218x68mm. Serão     admitidas     dimensões com
variação de até 10%.</t>
    </r>
  </si>
  <si>
    <t>Tramontina</t>
  </si>
  <si>
    <r>
      <rPr>
        <sz val="12"/>
        <rFont val="Times New Roman"/>
        <family val="1"/>
      </rPr>
      <t>Ancinho de ferro, curvo, 14 dentes, dimensões de 3,75mm de espessura e 26mm de diâmetro. E com cabo de madeira medindo no mínimo 145 cm.
Serão admitidas dimensões com variação de até 10%.</t>
    </r>
  </si>
  <si>
    <t>Minasul</t>
  </si>
  <si>
    <t>Mangueira de irrigação micro perfurada de 30 metros de comprimento.</t>
  </si>
  <si>
    <t>Santeno</t>
  </si>
  <si>
    <t>Mangueira de irrigação micro perfurada 50 metros de comprimento.</t>
  </si>
  <si>
    <t>Bomba mata formiga, polvilhadeira para formicida em pó capacidade mínima de 1KG</t>
  </si>
  <si>
    <t>Guarany</t>
  </si>
  <si>
    <t>Carrinho de mão com caçamba metálica capacidade mínima de 60 L, braço metálico e pneu c/ câmara de ar</t>
  </si>
  <si>
    <r>
      <rPr>
        <sz val="12"/>
        <rFont val="Times New Roman"/>
        <family val="1"/>
      </rPr>
      <t>Cavadeira simples reta de 31 cm, com cabo de madeira de no mínimo 120 cm e olho de 35mm.
Serão admitidas dimensões com variação de até 10%.</t>
    </r>
  </si>
  <si>
    <t>Kala</t>
  </si>
  <si>
    <t>Cortador de Grama elétrico com potência de no mínimo 900W e coletor de no mínimo 28 Litros.</t>
  </si>
  <si>
    <t>Einhell</t>
  </si>
  <si>
    <r>
      <rPr>
        <sz val="12"/>
        <rFont val="Times New Roman"/>
        <family val="1"/>
      </rPr>
      <t>Enxadinha com ponta medindo 9,5 cm, olho de 29mm e cabo de madeira de 43cm. Serão admitidas dimensões
com variação de até 10%.</t>
    </r>
  </si>
  <si>
    <r>
      <rPr>
        <sz val="12"/>
        <rFont val="Times New Roman"/>
        <family val="1"/>
      </rPr>
      <t>Enxada larga com lâmina de tamanho 2.0, olho de 38mm de diâmetro e cabo de madeira de 130 cm Serão
admitidas dimensões com variação de até 10%</t>
    </r>
  </si>
  <si>
    <t>Espátula de mão em aço inox de no mínimo 10 cm e cabo de madeira.</t>
  </si>
  <si>
    <t>Vonder</t>
  </si>
  <si>
    <r>
      <rPr>
        <sz val="12"/>
        <rFont val="Times New Roman"/>
        <family val="1"/>
      </rPr>
      <t>Facão para mato, 16”, com cabo de madeira e lâmina em
aço</t>
    </r>
  </si>
  <si>
    <r>
      <rPr>
        <sz val="12"/>
        <rFont val="Times New Roman"/>
        <family val="1"/>
      </rPr>
      <t>Garfo Largo metálico de no mínimo 3 dentes para jardinagem. Com altura de 6cm,  Largura 7,2cm e comprimento de 24,7cm. Serão admitidas dimensões com
variação de até 10%.</t>
    </r>
  </si>
  <si>
    <r>
      <rPr>
        <sz val="12"/>
        <rFont val="Times New Roman"/>
        <family val="1"/>
      </rPr>
      <t>Pazinha larga metálica para jardinagem com 6,4cm de altura, 8,3 cm de largura e 30,2 cm de comprimento Serão
admitidas dimensões com variação de até 10%.</t>
    </r>
  </si>
  <si>
    <t>Pá quadrada em aço, com cabo de madeira de 71 cm, com empunhadura plástica reta</t>
  </si>
  <si>
    <r>
      <rPr>
        <sz val="12"/>
        <rFont val="Times New Roman"/>
        <family val="1"/>
      </rPr>
      <t>Picareta metálica de largura de 451mm, com cabo de madeira de 90 cm e olho de 70 x 45 mm Serão admitidas
dimensões com variação de até 10%.</t>
    </r>
  </si>
  <si>
    <t>Pulverizador costal manual, capacidade mínima 12 litros</t>
  </si>
  <si>
    <t>Wipek</t>
  </si>
  <si>
    <t>Regador manual de plástico com capacidade mínima de 10 litros</t>
  </si>
  <si>
    <t>Metasul</t>
  </si>
  <si>
    <t>Aparador de grama elétrico com fio de nylon de corte de 28cm e no mínimo 1000W de potência</t>
  </si>
  <si>
    <t>Tesoura para grama pequena com cabo de madeira ou plástico de 30 a 40 cm e lâmina de 180mm.</t>
  </si>
  <si>
    <r>
      <rPr>
        <sz val="12"/>
        <rFont val="Times New Roman"/>
        <family val="1"/>
      </rPr>
      <t>Tesoura para jardinagem, cabo em madeira e lâmina em
metal/aço, 20”</t>
    </r>
  </si>
  <si>
    <t>Vassoura fixa de aço, com no mínimo 22 dentes e cabo de madeira de no mínimo 100cm para jardinagem</t>
  </si>
  <si>
    <t>Estrovenga em Aço com 29mm com Cabo de Madeira 110 cm</t>
  </si>
  <si>
    <t>VALOR TOTAL</t>
  </si>
  <si>
    <t>QUADRO D – OUTROS INSUMOS POR DEMANDA – JARDINEIROS</t>
  </si>
  <si>
    <t>VL UNTI R$</t>
  </si>
  <si>
    <t>SACOS</t>
  </si>
  <si>
    <t>Terra vegetal – terra preta - saco de 20kg</t>
  </si>
  <si>
    <t>Garden</t>
  </si>
  <si>
    <t>Veneno para formiga frasco de 30 ml. Marca de referência: poderoso</t>
  </si>
  <si>
    <t>Poderoso</t>
  </si>
  <si>
    <t>Veneno para grama, herbicida seletivo para gramados de 60 ml</t>
  </si>
  <si>
    <t>Kapina</t>
  </si>
  <si>
    <t>Pac otes</t>
  </si>
  <si>
    <t>Fertilizante Mineral (NPK 10 10 10) pacote de 25 kg</t>
  </si>
  <si>
    <t>Fertipar</t>
  </si>
  <si>
    <t>QUADRO E - EPI`S POR DEMANDA – SERVENTES E JARDINEIROS</t>
  </si>
  <si>
    <r>
      <rPr>
        <sz val="12"/>
        <rFont val="Times New Roman"/>
        <family val="1"/>
      </rPr>
      <t>Máscara de tecido que combate com eficiência a proliferação de bactérias e a transmissão de vírus em artigos têxteis. Eficácia comprovada em laboratório contra o SARS- CoV-2, vírus causador da
Covid-19. Tamanho único.</t>
    </r>
  </si>
  <si>
    <t>tecido</t>
  </si>
  <si>
    <t>Óculos de proteção com lente incolor em policarbonato</t>
  </si>
  <si>
    <t>RL Incolor</t>
  </si>
  <si>
    <t>Avental inteiro em raspa de couro, 1.00 X 0,60m</t>
  </si>
  <si>
    <t>Marfe</t>
  </si>
  <si>
    <r>
      <rPr>
        <sz val="12"/>
        <rFont val="Times New Roman"/>
        <family val="1"/>
      </rPr>
      <t>Capa impermeável contra chuva em pvc, forrada
com poliéster, com mangas longas, capuz e fechamento frontal</t>
    </r>
  </si>
  <si>
    <t>C.A</t>
  </si>
  <si>
    <t>PAR</t>
  </si>
  <si>
    <t>Botas de PVC com forro - cano longo</t>
  </si>
  <si>
    <t>Fujiwama</t>
  </si>
  <si>
    <t>Chapéu com sombreiro/ protetor de nuca</t>
  </si>
  <si>
    <t>Sombreiro</t>
  </si>
  <si>
    <t>Luvas de raspa de couro cano curto com 7cm de punho</t>
  </si>
  <si>
    <t>CM</t>
  </si>
  <si>
    <t>Luvas de raspa de couro longo com no mínimo 15 cm de punho</t>
  </si>
  <si>
    <t>Luva de proteção tricotada e punho com elástico, tamanho G</t>
  </si>
  <si>
    <t>Superflex</t>
  </si>
  <si>
    <t>Máscara de proteção contra pó reutilizável</t>
  </si>
  <si>
    <t>Proteplus</t>
  </si>
  <si>
    <t>Óculos escuro de proteção em acrílico, lente única com proteção lateral</t>
  </si>
  <si>
    <t>Delta Plus</t>
  </si>
  <si>
    <t>Protetor auricular tipo concha</t>
  </si>
  <si>
    <t>Kalipso</t>
  </si>
  <si>
    <r>
      <rPr>
        <sz val="12"/>
        <rFont val="Times New Roman"/>
        <family val="1"/>
      </rPr>
      <t>Protetor facial com visor incolor de tamanho mínimo de
8”.</t>
    </r>
  </si>
  <si>
    <t>Plascony</t>
  </si>
  <si>
    <t>Conjunto Herbicida para aplicação de defensivos agrícolas. Vestimenta de segurança tipo corpo inteiro, confeccionada em tecido misto de algodão e poliéster com tratamento hidro-repelente. A vestimenta é composta de camisa com mangas longas até os punhos, gola alta com velcro afixado na parte frontal abaixo do pescoço para fechamento da abertura, tiras de tecido embanhados na cintura para ajuste, capuz com aba tipo boné revestida de tecido hidrorepelente e pala com fechamento frontal por velcro; calça tipo reta comprida até os pés, com reforço em material de PVC impermeável a partir da parte mediana das coxas, cordão de tecido embanhado na cintura da calça para ajustes. Boné com aba rígida plástica em acetato transparente.</t>
  </si>
  <si>
    <t>Brascamp</t>
  </si>
  <si>
    <r>
      <rPr>
        <sz val="12"/>
        <rFont val="Times New Roman"/>
        <family val="1"/>
      </rPr>
      <t>Máscara – respirador para produtos químicos, semifacial,
tamanho M/G</t>
    </r>
  </si>
  <si>
    <t>Plastcor</t>
  </si>
  <si>
    <t>UN.</t>
  </si>
  <si>
    <r>
      <rPr>
        <b/>
        <sz val="12"/>
        <rFont val="Times New Roman"/>
        <family val="1"/>
      </rPr>
      <t>MARCA/MODEL
O</t>
    </r>
  </si>
  <si>
    <r>
      <rPr>
        <b/>
        <sz val="12"/>
        <rFont val="Times New Roman"/>
        <family val="1"/>
      </rPr>
      <t>QUANTIDAD
E ANUAL</t>
    </r>
  </si>
  <si>
    <t>PREÇO UNITÁRIO</t>
  </si>
  <si>
    <t>UN</t>
  </si>
  <si>
    <r>
      <rPr>
        <sz val="12"/>
        <rFont val="Times New Roman"/>
        <family val="1"/>
      </rPr>
      <t>Água sanitária, composição: hipoclorito de sódio, teor de cloro ativo: 2% a 2,5% p/p (embalagem plástica
com 5 litros)</t>
    </r>
  </si>
  <si>
    <t>Larilimp</t>
  </si>
  <si>
    <t>Un.</t>
  </si>
  <si>
    <r>
      <rPr>
        <sz val="12"/>
        <rFont val="Times New Roman"/>
        <family val="1"/>
      </rPr>
      <t>Álcool líquido – concentração hidroalcoólica – 70%, em
embalagem de 5 litros.</t>
    </r>
  </si>
  <si>
    <t>Lewgel</t>
  </si>
  <si>
    <t>Álcool em Gel, a 70% para as mãos, ph fisiológico, limpa a higieniza as mãos, embalagem de 1 litro.</t>
  </si>
  <si>
    <t>Depi Derm</t>
  </si>
  <si>
    <t>Balde de plástico para água, com alça de metal e capacidade de 08 litros.</t>
  </si>
  <si>
    <t>Zumplast</t>
  </si>
  <si>
    <t>Desinfetante hospitalar concentrado, embalagem: bombona plástica de 5 litros.</t>
  </si>
  <si>
    <t>Renko</t>
  </si>
  <si>
    <t>Botijão</t>
  </si>
  <si>
    <t>Desinfetante em botijão de 5 litros (embalagem de material resistente e transparente), nas fragrâncias: Talco, lavanda ou eucalipto. Produto bactericida e anti-germes.</t>
  </si>
  <si>
    <r>
      <rPr>
        <sz val="12"/>
        <rFont val="Times New Roman"/>
        <family val="1"/>
      </rPr>
      <t>Detergente concentrado para limpeza geral (sabão geléia). Embalagem tipo bombona plástica com 5 litros do produto. Aroma de Pinho ou Jasmim. Produto bactericida e anti-
germes.</t>
    </r>
  </si>
  <si>
    <t>Cordex</t>
  </si>
  <si>
    <r>
      <rPr>
        <sz val="12"/>
        <rFont val="Times New Roman"/>
        <family val="1"/>
      </rPr>
      <t>Detergente líquido para limpeza e desinfecção de utensílios de cozinha, biodegradável, neutro, em frasco de
500 ml, tampa com bico dosador.</t>
    </r>
  </si>
  <si>
    <t>Limpol</t>
  </si>
  <si>
    <t>Desodorizador de ambientes em aerossol (frasco com 300 ml). Odor Talco, jasmim ou lavanda.</t>
  </si>
  <si>
    <t>Airwick</t>
  </si>
  <si>
    <t>Esponja de nylon dupla face, sendo um lado áspero, medindo 100x70x20mm.</t>
  </si>
  <si>
    <t>Brilex</t>
  </si>
  <si>
    <r>
      <rPr>
        <sz val="12"/>
        <rFont val="Times New Roman"/>
        <family val="1"/>
      </rPr>
      <t>Escova sanitária com cerdas de nylon – cabo longo material
plástico resistente.</t>
    </r>
  </si>
  <si>
    <t>Bettanin</t>
  </si>
  <si>
    <t>pacote</t>
  </si>
  <si>
    <t>Esponja de aço, pacote com 08 unidades.</t>
  </si>
  <si>
    <t>Bom Bril</t>
  </si>
  <si>
    <t>Flanela em tecido 100% algodão, na cor branca, medindo 35x38 cm.</t>
  </si>
  <si>
    <r>
      <rPr>
        <sz val="12"/>
        <rFont val="Times New Roman"/>
        <family val="1"/>
      </rPr>
      <t>Líquido para limpeza de vidros, removedor de manchas de vidros, não inflamável, em embalagem de 500
ml.</t>
    </r>
  </si>
  <si>
    <t>Par</t>
  </si>
  <si>
    <t>Luva de borracha antiderrapante e anti-germes para limpeza em geral. Nos tamanhos: P, M e G. (Tamanhos definidos no ato do pedido)</t>
  </si>
  <si>
    <t>Volk</t>
  </si>
  <si>
    <t>Multiuso, limpador instantâneo, bactericida, em embalagem de 500 ml.</t>
  </si>
  <si>
    <t>Fardo</t>
  </si>
  <si>
    <r>
      <rPr>
        <sz val="12"/>
        <rFont val="Times New Roman"/>
        <family val="1"/>
      </rPr>
      <t>Papel higiênico em rolo, folha dupla: (neutro branco de alta alvura), picotado, matéria prima 100% fibras naturais, de alta qualidade, (fardo com 64 rolos de 30
metros).</t>
    </r>
  </si>
  <si>
    <t>Delly</t>
  </si>
  <si>
    <t>Pacote</t>
  </si>
  <si>
    <t>Papel toalha interfolhado, branco, três dobras, medindo 23x23 cm (pacote com 1000 folhas).</t>
  </si>
  <si>
    <t>Papelex</t>
  </si>
  <si>
    <r>
      <rPr>
        <sz val="12"/>
        <rFont val="Times New Roman"/>
        <family val="1"/>
      </rPr>
      <t>Papel toalha em rolo de alta absorção, branco, folha dupla, gofrado, medindo no mínimo 20x22CM.
Pacote com dois rolos.</t>
    </r>
  </si>
  <si>
    <t>Santher</t>
  </si>
  <si>
    <t>Pano de chão dupla, 100% algodão, medindo aproximadamente 60x40 cm.</t>
  </si>
  <si>
    <t>Santa Margarida</t>
  </si>
  <si>
    <r>
      <rPr>
        <sz val="12"/>
        <rFont val="Times New Roman"/>
        <family val="1"/>
      </rPr>
      <t>Pá para lixo – material Plástico resistente, tipo uso
doméstico, com cabo longo de madeira plastificado.</t>
    </r>
  </si>
  <si>
    <t>Limpamania</t>
  </si>
  <si>
    <r>
      <rPr>
        <sz val="12"/>
        <rFont val="Times New Roman"/>
        <family val="1"/>
      </rPr>
      <t>Pastilha sanitária adesiva com no mínimo 8 gramas. – nas
fragrâncias lavanda ou floral. Pacote com 3 unidades.</t>
    </r>
  </si>
  <si>
    <t>Sanilux</t>
  </si>
  <si>
    <t>Polidor de aço inoxidável, embalagem de 200ml.</t>
  </si>
  <si>
    <t>Worker</t>
  </si>
  <si>
    <t>Polidor de alumínio, embalagem plástica de 500 ml.</t>
  </si>
  <si>
    <t>Alumil</t>
  </si>
  <si>
    <r>
      <rPr>
        <sz val="12"/>
        <rFont val="Times New Roman"/>
        <family val="1"/>
      </rPr>
      <t>Rodo plástico com 02 (duas) lâminas de borracha e cabo de madeira plastificado, medindo aproximadamente 40
cm.</t>
    </r>
  </si>
  <si>
    <t>Nahera</t>
  </si>
  <si>
    <t>Sabão em pó, embalagem de 1 Kg.</t>
  </si>
  <si>
    <t>Brilhante</t>
  </si>
  <si>
    <t>Sabão em pedra para limpeza em geral (200g). Pacote com 5 unidades.</t>
  </si>
  <si>
    <t>Minuano</t>
  </si>
  <si>
    <r>
      <rPr>
        <sz val="12"/>
        <rFont val="Times New Roman"/>
        <family val="1"/>
      </rPr>
      <t>Saco para lixo em plástico resistente, cor preta, capacidade 40 litros. Pacote com 100 unidades.
Validade indeterminada.</t>
    </r>
  </si>
  <si>
    <r>
      <rPr>
        <sz val="12"/>
        <rFont val="Times New Roman"/>
        <family val="1"/>
      </rPr>
      <t>Saco para lixo em plástico resistente, cor preta, capacidade 100 litros. Pacote com 100 unidades.
Validade indeterminada.</t>
    </r>
  </si>
  <si>
    <t>Ecosul</t>
  </si>
  <si>
    <r>
      <rPr>
        <sz val="12"/>
        <rFont val="Times New Roman"/>
        <family val="1"/>
      </rPr>
      <t>Sabonete líquido para uso em reservatório de saboneteira, líquido cremoso, fragrâncias: erva-doce ou
lavanda. Aplicação: antissepsia das mãos.
Embalagem plástica tipo bombona. Contendo 05 (cinco) litros.</t>
    </r>
  </si>
  <si>
    <t>Vaselina líquida em embalagem de um litro.</t>
  </si>
  <si>
    <t>Cinord</t>
  </si>
  <si>
    <r>
      <rPr>
        <sz val="12"/>
        <rFont val="Times New Roman"/>
        <family val="1"/>
      </rPr>
      <t>Vassoura de pelo natural, para uso doméstico, medindo, aproximadamente 40 cm, com cabo de madeira
plastificado.</t>
    </r>
  </si>
  <si>
    <t>São Bernardo</t>
  </si>
  <si>
    <t>Vassoura de pelo natural, de 60 cm, com cabo de madeira plastificado.</t>
  </si>
  <si>
    <t>Desentupidor de Ralos e Vasos Sanitários.</t>
  </si>
  <si>
    <t>Oliveira e Azevedo</t>
  </si>
  <si>
    <t>Lustra Móveis embalagem de 500 ml com pulverizador</t>
  </si>
  <si>
    <r>
      <rPr>
        <sz val="12"/>
        <rFont val="Times New Roman"/>
        <family val="1"/>
      </rPr>
      <t>Vassoura, cerdas de pelo sintético, uso doméstico, medindo, aproximadamente 30 cm, com cabo de madeira
plastificado.</t>
    </r>
  </si>
  <si>
    <t>Papel higiênico Rolão 8x300 metros Big Roll Plus 100% Celulose embalagem com 8 rolos de 300 metros</t>
  </si>
  <si>
    <t>Cloro líquido em bombonas de 5 litros cada</t>
  </si>
  <si>
    <t>Divisão</t>
  </si>
  <si>
    <t>Naftalina em bolas – pacotes de 1kg cada</t>
  </si>
  <si>
    <t>Sanilar</t>
  </si>
  <si>
    <t>Removedor de Ferrugem 250 ml</t>
  </si>
  <si>
    <t>QUADRO C - EQUIPAMENTOS POR DEMANDA – JARDINEIROS</t>
  </si>
  <si>
    <t>VL ANUAL
R$</t>
  </si>
  <si>
    <t xml:space="preserve">CONSIDERANDO VIDA ÚTIL DE 24 meses
</t>
  </si>
  <si>
    <t xml:space="preserve">VALOR MENSAL         </t>
  </si>
  <si>
    <t xml:space="preserve">VALOR MENSAL                  </t>
  </si>
  <si>
    <t>Outros (EPI)</t>
  </si>
  <si>
    <t>QUADRO A - MATERIAIS POR DEMANDA - SERVENTES</t>
  </si>
  <si>
    <t>QUADRO B - OUTROS INSUMOS POR DEMANDA - SERVENTES</t>
  </si>
  <si>
    <r>
      <rPr>
        <b/>
        <sz val="12"/>
        <rFont val="Times New Roman"/>
        <family val="1"/>
      </rPr>
      <t>DESCRIÇÃO DO
MATERIAL</t>
    </r>
  </si>
  <si>
    <r>
      <rPr>
        <b/>
        <sz val="12"/>
        <rFont val="Times New Roman"/>
        <family val="1"/>
      </rPr>
      <t>TOTAL
ANUAL</t>
    </r>
  </si>
  <si>
    <r>
      <rPr>
        <b/>
        <sz val="12"/>
        <rFont val="Times New Roman"/>
        <family val="1"/>
      </rPr>
      <t>VALOR
UNITÁRIO</t>
    </r>
  </si>
  <si>
    <t>Conj.</t>
  </si>
  <si>
    <r>
      <rPr>
        <sz val="12"/>
        <rFont val="Times New Roman"/>
        <family val="1"/>
      </rPr>
      <t>Conjunto combinado de balde para mop + espremedor com
capacidade mínima para 25 litros.</t>
    </r>
  </si>
  <si>
    <t>Bralimpia</t>
  </si>
  <si>
    <t>Mop água completo</t>
  </si>
  <si>
    <t>TTS Brasil</t>
  </si>
  <si>
    <t>Refil de mop para água com cinta 350gr</t>
  </si>
  <si>
    <t>Certec</t>
  </si>
  <si>
    <t>Mop pó 60 cm completo</t>
  </si>
  <si>
    <t>Refil de mop para pó 60 cm</t>
  </si>
  <si>
    <t>Kit limpa vidro completo, cabo telescópio de alumínio de no mínimo 5 metros</t>
  </si>
  <si>
    <t>Un</t>
  </si>
  <si>
    <r>
      <rPr>
        <sz val="12"/>
        <rFont val="Times New Roman"/>
        <family val="1"/>
      </rPr>
      <t>Mangueira para água ½’’com Esguicho – com encaixe
rápido na torneira e no esguicho. Cada mangueira com 25 metros no mínimo.</t>
    </r>
  </si>
  <si>
    <t>Arqua</t>
  </si>
  <si>
    <t>Carrinho multifuncional com bolsa de vinil</t>
  </si>
  <si>
    <r>
      <rPr>
        <sz val="12"/>
        <rFont val="Times New Roman"/>
        <family val="1"/>
      </rPr>
      <t>Extensão elétrica bivolt, 30 metros, reforçada, emborrachada, cabo 3 x 2,5 mm, 3 tomadas. (10/20
amperes)</t>
    </r>
  </si>
  <si>
    <t>Megatron</t>
  </si>
  <si>
    <t>Placa sinalizadora: piso molhado, material polipropileno injetado.</t>
  </si>
  <si>
    <t>Organizador de acessórios, com corpo em alumínio anodizado e sistema de clips em nylon, para 6 acessórios</t>
  </si>
  <si>
    <t>Pulverizador costal elétrico, CAPACIDADE MÍNIMA 16 litros, bateria recarregável</t>
  </si>
  <si>
    <t>Wonker</t>
  </si>
  <si>
    <t>Escada de no mínimo 06 degraus dobrável Possui os degraus e os pés antiderrapantes, corrimão alto e seguro com travamento automático no patamar -  Material em alumínio dobrável, Carga máxima de 120 kg.</t>
  </si>
  <si>
    <t>Rotterman</t>
  </si>
  <si>
    <t>Escada extensível e articulada com no mínimo 5 metros</t>
  </si>
  <si>
    <t xml:space="preserve">Detergente concentrado para limpeza geral (sabão geléia). Embalagem tipo bombona plástica com 5 litros do produto. </t>
  </si>
  <si>
    <t>Flanela em tecido 100% algodão, na cor branca, medindo 35x38 cm..</t>
  </si>
  <si>
    <t>EQUIPAMENTOS - SERVENTES</t>
  </si>
  <si>
    <t>MATERIAIS  - SERVENTES</t>
  </si>
  <si>
    <t>Lavadora elétrica de operação a pé, rodo
orbital, aspiração de ré, carregador portátil,bateria de lithium</t>
  </si>
  <si>
    <t>VALOR TOTAL POR EMPREGADO</t>
  </si>
  <si>
    <t>QUANTIDADE DE EMPREGADOS POR POSTO</t>
  </si>
  <si>
    <t>VALOR ANUAL</t>
  </si>
  <si>
    <t>DESCRIÇÃO</t>
  </si>
  <si>
    <t>VALOR DO HOMEM</t>
  </si>
  <si>
    <t>PREÇO DO METRO QUADRADO</t>
  </si>
  <si>
    <t>AEREA HOSPITALAR</t>
  </si>
  <si>
    <t>AEREA BANHEIRO</t>
  </si>
  <si>
    <t>AEREA ESQUADRIA</t>
  </si>
  <si>
    <t>VALOR POR POSTO</t>
  </si>
  <si>
    <t>Vassoura de pelo natural, para uso doméstico, medindo, aproximadamente 40 cm, com cabo de madeira
plastificado.</t>
  </si>
  <si>
    <r>
      <rPr>
        <sz val="12"/>
        <color rgb="FFFF0000"/>
        <rFont val="Times New Roman"/>
        <family val="1"/>
      </rPr>
      <t>Água sanitária, composição: hipoclorito de sódio, teor de cloro ativo: 2% a 2,5% p/p (embalagem plástica
com 5 litros)</t>
    </r>
  </si>
  <si>
    <r>
      <rPr>
        <sz val="12"/>
        <color rgb="FFFF0000"/>
        <rFont val="Times New Roman"/>
        <family val="1"/>
      </rPr>
      <t>Álcool líquido – concentração hidroalcoólica – 70%, em
embalagem de 5 litros.</t>
    </r>
  </si>
  <si>
    <r>
      <rPr>
        <sz val="12"/>
        <color rgb="FFFF0000"/>
        <rFont val="Times New Roman"/>
        <family val="1"/>
      </rPr>
      <t>Rodo plástico com 02 (duas) lâminas de borracha e cabo de madeira plastificado, medindo aproximadamente 40
cm.</t>
    </r>
  </si>
  <si>
    <t>Aspirador de Pó e água potência mínima
1.400W</t>
  </si>
  <si>
    <t>Lavadora de Alta Pressão, potência mínima
1200W</t>
  </si>
  <si>
    <t>Mangueira para água ½’’com Esguicho – com
encaixe rápido na torneira e no esguicho com
25 metros.</t>
  </si>
  <si>
    <t>Escada com 6 degraus, material alumínio, 25 metros. dobrável</t>
  </si>
  <si>
    <t>Lavadora elétrica de operação a pé, rodo orbital, aspiração de ré, carregador portátil,bateria de lithium</t>
  </si>
  <si>
    <t>JARDINEIRO</t>
  </si>
  <si>
    <t xml:space="preserve"> </t>
  </si>
  <si>
    <t>Valor diluido nos postos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</si>
</sst>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d/m/yyyy"/>
    <numFmt numFmtId="165" formatCode="_(&quot;R$ &quot;* #,##0.00_);_(&quot;R$ &quot;* \(#,##0.00\);_(&quot;R$ &quot;* \-??_);_(@_)"/>
    <numFmt numFmtId="166" formatCode="&quot;R$ &quot;#,##0.00_);[Red]&quot;(R$ &quot;#,##0.00\)"/>
    <numFmt numFmtId="167" formatCode="_-&quot;R$ &quot;* #,##0.00_-;&quot;-R$ &quot;* #,##0.00_-;_-&quot;R$ &quot;* \-??_-;_-@_-"/>
    <numFmt numFmtId="168" formatCode="_(* #,##0.000000_);_(* \(#,##0.000000\);_(* \-??_);_(@_)"/>
    <numFmt numFmtId="169" formatCode="&quot;R$&quot;\ #,##0.00"/>
    <numFmt numFmtId="170" formatCode="_(* #,##0.000000000_);_(* \(#,##0.000000000\);_(* \-??_);_(@_)"/>
    <numFmt numFmtId="171" formatCode="_(* #,##0.00_);_(* \(#,##0.00\);_(* \-??_);_(@_)"/>
    <numFmt numFmtId="172" formatCode="0.0000"/>
    <numFmt numFmtId="173" formatCode="_(* #,##0.0000_);_(* \(#,##0.0000\);_(* \-??_);_(@_)"/>
    <numFmt numFmtId="174" formatCode="_(* #,##0.0000000000_);_(* \(#,##0.0000000000\);_(* &quot;-&quot;??_);_(@_)"/>
    <numFmt numFmtId="175" formatCode="_(* #,##0.00_);_(* \(#,##0.00\);_(* &quot;-&quot;??_);_(@_)"/>
    <numFmt numFmtId="176" formatCode="00"/>
    <numFmt numFmtId="177" formatCode="0.000"/>
  </numFmts>
  <fonts count="30" x14ac:knownFonts="1">
    <font>
      <sz val="10"/>
      <name val="Arial"/>
      <family val="2"/>
      <charset val="1"/>
    </font>
    <font>
      <sz val="9"/>
      <color rgb="FF000000"/>
      <name val="Calibri"/>
      <family val="2"/>
      <charset val="1"/>
    </font>
    <font>
      <b/>
      <sz val="10"/>
      <name val="Arial"/>
      <family val="2"/>
      <charset val="1"/>
    </font>
    <font>
      <b/>
      <sz val="9"/>
      <color rgb="FF000000"/>
      <name val="Calibri"/>
      <family val="2"/>
      <charset val="1"/>
    </font>
    <font>
      <sz val="10"/>
      <color rgb="FFFF0000"/>
      <name val="Arial"/>
      <family val="2"/>
      <charset val="1"/>
    </font>
    <font>
      <sz val="10"/>
      <color rgb="FF000000"/>
      <name val="Arial"/>
      <family val="2"/>
      <charset val="1"/>
    </font>
    <font>
      <sz val="10"/>
      <name val="Arial"/>
      <family val="2"/>
      <charset val="1"/>
    </font>
    <font>
      <sz val="7"/>
      <name val="Arial"/>
      <family val="2"/>
    </font>
    <font>
      <sz val="11"/>
      <name val="Arial"/>
      <family val="2"/>
      <charset val="1"/>
    </font>
    <font>
      <sz val="10"/>
      <name val="Arial"/>
      <family val="2"/>
    </font>
    <font>
      <b/>
      <sz val="10"/>
      <name val="Arial"/>
      <family val="2"/>
    </font>
    <font>
      <b/>
      <sz val="11"/>
      <name val="Arial"/>
      <family val="2"/>
    </font>
    <font>
      <sz val="11"/>
      <name val="Arial"/>
      <family val="2"/>
    </font>
    <font>
      <b/>
      <sz val="12"/>
      <name val="Verdana"/>
      <family val="2"/>
    </font>
    <font>
      <sz val="12"/>
      <name val="Verdana"/>
      <family val="2"/>
    </font>
    <font>
      <b/>
      <sz val="12"/>
      <name val="Arial"/>
      <family val="2"/>
    </font>
    <font>
      <b/>
      <sz val="12"/>
      <color rgb="FF221F1F"/>
      <name val="Arial"/>
      <family val="2"/>
    </font>
    <font>
      <sz val="12"/>
      <name val="Arial"/>
      <family val="2"/>
    </font>
    <font>
      <sz val="12"/>
      <color rgb="FF221F1F"/>
      <name val="Arial"/>
      <family val="2"/>
    </font>
    <font>
      <sz val="12"/>
      <color rgb="FF000000"/>
      <name val="Arial"/>
      <family val="2"/>
    </font>
    <font>
      <b/>
      <sz val="12"/>
      <color rgb="FF000000"/>
      <name val="Arial"/>
      <family val="2"/>
    </font>
    <font>
      <sz val="12"/>
      <name val="Arial"/>
      <family val="2"/>
      <charset val="1"/>
    </font>
    <font>
      <b/>
      <sz val="12"/>
      <name val="Times New Roman"/>
      <family val="1"/>
    </font>
    <font>
      <sz val="12"/>
      <color rgb="FF000000"/>
      <name val="Times New Roman"/>
      <family val="2"/>
    </font>
    <font>
      <sz val="12"/>
      <name val="Times New Roman"/>
      <family val="1"/>
    </font>
    <font>
      <b/>
      <sz val="12"/>
      <color rgb="FF000000"/>
      <name val="Times New Roman"/>
      <family val="2"/>
    </font>
    <font>
      <b/>
      <sz val="12"/>
      <color rgb="FF000000"/>
      <name val="Calibri"/>
      <family val="2"/>
    </font>
    <font>
      <sz val="12"/>
      <name val="Calibri"/>
      <family val="2"/>
    </font>
    <font>
      <sz val="12"/>
      <color rgb="FFFF0000"/>
      <name val="Arial"/>
      <family val="2"/>
      <charset val="1"/>
    </font>
    <font>
      <sz val="12"/>
      <color rgb="FFFF0000"/>
      <name val="Times New Roman"/>
      <family val="1"/>
    </font>
  </fonts>
  <fills count="16">
    <fill>
      <patternFill patternType="none"/>
    </fill>
    <fill>
      <patternFill patternType="gray125"/>
    </fill>
    <fill>
      <patternFill patternType="solid">
        <fgColor rgb="FFC0C0C0"/>
        <bgColor rgb="FFD9D9D9"/>
      </patternFill>
    </fill>
    <fill>
      <patternFill patternType="solid">
        <fgColor rgb="FFFFFF00"/>
        <bgColor rgb="FFFFFF00"/>
      </patternFill>
    </fill>
    <fill>
      <patternFill patternType="solid">
        <fgColor rgb="FFD9D9D9"/>
        <bgColor rgb="FFDCE6F2"/>
      </patternFill>
    </fill>
    <fill>
      <patternFill patternType="solid">
        <fgColor rgb="FFFFFFFF"/>
        <bgColor rgb="FFF2F2F2"/>
      </patternFill>
    </fill>
    <fill>
      <patternFill patternType="solid">
        <fgColor theme="0"/>
        <bgColor indexed="64"/>
      </patternFill>
    </fill>
    <fill>
      <patternFill patternType="solid">
        <fgColor theme="0"/>
        <bgColor rgb="FF993300"/>
      </patternFill>
    </fill>
    <fill>
      <patternFill patternType="solid">
        <fgColor rgb="FFFFFF0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indexed="9"/>
        <bgColor indexed="26"/>
      </patternFill>
    </fill>
    <fill>
      <patternFill patternType="solid">
        <fgColor indexed="43"/>
        <bgColor indexed="17"/>
      </patternFill>
    </fill>
    <fill>
      <patternFill patternType="solid">
        <fgColor indexed="43"/>
        <bgColor indexed="26"/>
      </patternFill>
    </fill>
    <fill>
      <patternFill patternType="solid">
        <fgColor indexed="43"/>
        <bgColor indexed="64"/>
      </patternFill>
    </fill>
    <fill>
      <patternFill patternType="solid">
        <fgColor theme="0" tint="-4.9989318521683403E-2"/>
        <bgColor indexed="64"/>
      </patternFill>
    </fill>
  </fills>
  <borders count="117">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auto="1"/>
      </bottom>
      <diagonal/>
    </border>
    <border>
      <left/>
      <right/>
      <top style="medium">
        <color auto="1"/>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indexed="8"/>
      </bottom>
      <diagonal/>
    </border>
    <border>
      <left style="medium">
        <color indexed="8"/>
      </left>
      <right style="medium">
        <color indexed="8"/>
      </right>
      <top style="medium">
        <color indexed="8"/>
      </top>
      <bottom style="thin">
        <color indexed="8"/>
      </bottom>
      <diagonal/>
    </border>
    <border>
      <left style="medium">
        <color indexed="8"/>
      </left>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top/>
      <bottom/>
      <diagonal/>
    </border>
    <border>
      <left style="medium">
        <color indexed="8"/>
      </left>
      <right style="medium">
        <color indexed="8"/>
      </right>
      <top style="thin">
        <color indexed="8"/>
      </top>
      <bottom/>
      <diagonal/>
    </border>
    <border>
      <left style="medium">
        <color indexed="8"/>
      </left>
      <right/>
      <top style="thin">
        <color indexed="8"/>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top style="thin">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221F1F"/>
      </right>
      <top style="thin">
        <color rgb="FF000000"/>
      </top>
      <bottom style="thin">
        <color rgb="FF221F1F"/>
      </bottom>
      <diagonal/>
    </border>
    <border>
      <left style="thin">
        <color rgb="FF221F1F"/>
      </left>
      <right style="thin">
        <color rgb="FF221F1F"/>
      </right>
      <top style="thin">
        <color rgb="FF000000"/>
      </top>
      <bottom style="thin">
        <color rgb="FF221F1F"/>
      </bottom>
      <diagonal/>
    </border>
    <border>
      <left style="thin">
        <color rgb="FF221F1F"/>
      </left>
      <right style="thin">
        <color rgb="FF000000"/>
      </right>
      <top style="thin">
        <color rgb="FF000000"/>
      </top>
      <bottom style="thin">
        <color rgb="FF221F1F"/>
      </bottom>
      <diagonal/>
    </border>
    <border>
      <left style="thin">
        <color rgb="FF000000"/>
      </left>
      <right style="thin">
        <color rgb="FF221F1F"/>
      </right>
      <top style="thin">
        <color rgb="FF221F1F"/>
      </top>
      <bottom style="thin">
        <color rgb="FF221F1F"/>
      </bottom>
      <diagonal/>
    </border>
    <border>
      <left style="thin">
        <color rgb="FF221F1F"/>
      </left>
      <right style="thin">
        <color rgb="FF221F1F"/>
      </right>
      <top style="thin">
        <color rgb="FF221F1F"/>
      </top>
      <bottom style="thin">
        <color rgb="FF221F1F"/>
      </bottom>
      <diagonal/>
    </border>
    <border>
      <left style="thin">
        <color rgb="FF221F1F"/>
      </left>
      <right style="thin">
        <color rgb="FF000000"/>
      </right>
      <top style="thin">
        <color rgb="FF221F1F"/>
      </top>
      <bottom style="thin">
        <color rgb="FF221F1F"/>
      </bottom>
      <diagonal/>
    </border>
    <border>
      <left style="thin">
        <color rgb="FF000000"/>
      </left>
      <right style="thin">
        <color rgb="FF221F1F"/>
      </right>
      <top style="thin">
        <color rgb="FF221F1F"/>
      </top>
      <bottom style="thin">
        <color rgb="FF000000"/>
      </bottom>
      <diagonal/>
    </border>
    <border>
      <left style="thin">
        <color rgb="FF221F1F"/>
      </left>
      <right style="thin">
        <color rgb="FF221F1F"/>
      </right>
      <top style="thin">
        <color rgb="FF221F1F"/>
      </top>
      <bottom style="thin">
        <color rgb="FF000000"/>
      </bottom>
      <diagonal/>
    </border>
    <border>
      <left style="thin">
        <color rgb="FF221F1F"/>
      </left>
      <right style="thin">
        <color rgb="FF000000"/>
      </right>
      <top style="thin">
        <color rgb="FF221F1F"/>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221F1F"/>
      </left>
      <right/>
      <top style="thin">
        <color rgb="FF221F1F"/>
      </top>
      <bottom style="thin">
        <color rgb="FF000000"/>
      </bottom>
      <diagonal/>
    </border>
    <border>
      <left/>
      <right style="thin">
        <color rgb="FF221F1F"/>
      </right>
      <top style="thin">
        <color rgb="FF221F1F"/>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221F1F"/>
      </left>
      <right/>
      <top style="thin">
        <color rgb="FF000000"/>
      </top>
      <bottom style="thin">
        <color rgb="FF221F1F"/>
      </bottom>
      <diagonal/>
    </border>
    <border>
      <left/>
      <right style="thin">
        <color rgb="FF221F1F"/>
      </right>
      <top style="thin">
        <color rgb="FF000000"/>
      </top>
      <bottom style="thin">
        <color rgb="FF221F1F"/>
      </bottom>
      <diagonal/>
    </border>
    <border>
      <left style="thin">
        <color rgb="FF221F1F"/>
      </left>
      <right/>
      <top style="thin">
        <color rgb="FF221F1F"/>
      </top>
      <bottom style="thin">
        <color rgb="FF221F1F"/>
      </bottom>
      <diagonal/>
    </border>
    <border>
      <left/>
      <right style="thin">
        <color rgb="FF221F1F"/>
      </right>
      <top style="thin">
        <color rgb="FF221F1F"/>
      </top>
      <bottom style="thin">
        <color rgb="FF221F1F"/>
      </bottom>
      <diagonal/>
    </border>
    <border>
      <left style="thin">
        <color rgb="FF000000"/>
      </left>
      <right style="thin">
        <color rgb="FF221F1F"/>
      </right>
      <top style="thin">
        <color rgb="FF000000"/>
      </top>
      <bottom style="thin">
        <color rgb="FF000000"/>
      </bottom>
      <diagonal/>
    </border>
    <border>
      <left style="thin">
        <color rgb="FF221F1F"/>
      </left>
      <right/>
      <top style="thin">
        <color rgb="FF000000"/>
      </top>
      <bottom style="thin">
        <color rgb="FF000000"/>
      </bottom>
      <diagonal/>
    </border>
    <border>
      <left/>
      <right style="thin">
        <color rgb="FF221F1F"/>
      </right>
      <top style="thin">
        <color rgb="FF000000"/>
      </top>
      <bottom style="thin">
        <color rgb="FF000000"/>
      </bottom>
      <diagonal/>
    </border>
    <border>
      <left style="thin">
        <color rgb="FF221F1F"/>
      </left>
      <right style="thin">
        <color rgb="FF221F1F"/>
      </right>
      <top style="thin">
        <color rgb="FF000000"/>
      </top>
      <bottom style="thin">
        <color rgb="FF000000"/>
      </bottom>
      <diagonal/>
    </border>
    <border>
      <left style="thin">
        <color rgb="FF221F1F"/>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221F1F"/>
      </right>
      <top style="thin">
        <color rgb="FF221F1F"/>
      </top>
      <bottom/>
      <diagonal/>
    </border>
    <border>
      <left style="thin">
        <color rgb="FF221F1F"/>
      </left>
      <right style="thin">
        <color rgb="FF221F1F"/>
      </right>
      <top style="thin">
        <color rgb="FF221F1F"/>
      </top>
      <bottom/>
      <diagonal/>
    </border>
    <border>
      <left style="thin">
        <color rgb="FF221F1F"/>
      </left>
      <right style="thin">
        <color rgb="FF000000"/>
      </right>
      <top style="thin">
        <color rgb="FF221F1F"/>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221F1F"/>
      </left>
      <right/>
      <top style="thin">
        <color rgb="FF221F1F"/>
      </top>
      <bottom/>
      <diagonal/>
    </border>
    <border>
      <left/>
      <right style="thin">
        <color rgb="FF221F1F"/>
      </right>
      <top style="thin">
        <color rgb="FF221F1F"/>
      </top>
      <bottom/>
      <diagonal/>
    </border>
  </borders>
  <cellStyleXfs count="9">
    <xf numFmtId="0" fontId="0" fillId="0" borderId="0"/>
    <xf numFmtId="165" fontId="6" fillId="0" borderId="0" applyBorder="0" applyProtection="0"/>
    <xf numFmtId="9" fontId="6" fillId="0" borderId="0" applyBorder="0" applyProtection="0"/>
    <xf numFmtId="167" fontId="6" fillId="0" borderId="0" applyBorder="0" applyProtection="0"/>
    <xf numFmtId="43" fontId="6" fillId="0" borderId="0" applyFont="0" applyFill="0" applyBorder="0" applyAlignment="0" applyProtection="0"/>
    <xf numFmtId="0" fontId="6" fillId="0" borderId="0"/>
    <xf numFmtId="0" fontId="9" fillId="0" borderId="0"/>
    <xf numFmtId="168" fontId="9" fillId="0" borderId="0" applyFill="0" applyBorder="0" applyAlignment="0" applyProtection="0"/>
    <xf numFmtId="168" fontId="6" fillId="0" borderId="0"/>
  </cellStyleXfs>
  <cellXfs count="567">
    <xf numFmtId="0" fontId="0" fillId="0" borderId="0" xfId="0"/>
    <xf numFmtId="164" fontId="0" fillId="0" borderId="1" xfId="0" applyNumberFormat="1" applyFont="1" applyBorder="1" applyAlignment="1">
      <alignment horizontal="center"/>
    </xf>
    <xf numFmtId="0" fontId="0" fillId="0" borderId="0" xfId="0" applyBorder="1"/>
    <xf numFmtId="166" fontId="0" fillId="0" borderId="1" xfId="0" applyNumberFormat="1" applyFont="1" applyBorder="1" applyAlignment="1">
      <alignment horizontal="center"/>
    </xf>
    <xf numFmtId="0" fontId="0" fillId="0" borderId="1" xfId="0" applyBorder="1"/>
    <xf numFmtId="2" fontId="0" fillId="0" borderId="1" xfId="0" applyNumberFormat="1" applyBorder="1"/>
    <xf numFmtId="10" fontId="6" fillId="0" borderId="1" xfId="2" applyNumberFormat="1" applyBorder="1" applyAlignment="1" applyProtection="1">
      <alignment horizontal="center"/>
    </xf>
    <xf numFmtId="2" fontId="2" fillId="0" borderId="1" xfId="0" applyNumberFormat="1" applyFont="1" applyBorder="1" applyAlignment="1"/>
    <xf numFmtId="0" fontId="2" fillId="0" borderId="0" xfId="0" applyFont="1" applyBorder="1" applyAlignment="1">
      <alignment horizontal="center"/>
    </xf>
    <xf numFmtId="2" fontId="2" fillId="0" borderId="0" xfId="0" applyNumberFormat="1" applyFont="1" applyBorder="1" applyAlignment="1"/>
    <xf numFmtId="10" fontId="0" fillId="4" borderId="1" xfId="0" applyNumberFormat="1" applyFill="1" applyBorder="1" applyAlignment="1">
      <alignment horizontal="center"/>
    </xf>
    <xf numFmtId="10" fontId="0" fillId="4" borderId="1" xfId="0" applyNumberFormat="1" applyFont="1" applyFill="1" applyBorder="1" applyAlignment="1">
      <alignment horizontal="center"/>
    </xf>
    <xf numFmtId="10" fontId="2" fillId="0" borderId="1" xfId="0" applyNumberFormat="1" applyFont="1" applyBorder="1" applyAlignment="1">
      <alignment horizontal="center"/>
    </xf>
    <xf numFmtId="2" fontId="2" fillId="0" borderId="1" xfId="0" applyNumberFormat="1" applyFont="1" applyBorder="1"/>
    <xf numFmtId="2" fontId="0" fillId="0" borderId="1" xfId="0" applyNumberFormat="1" applyBorder="1" applyAlignment="1">
      <alignment horizontal="right"/>
    </xf>
    <xf numFmtId="2" fontId="0" fillId="5" borderId="1" xfId="0" applyNumberFormat="1" applyFill="1" applyBorder="1" applyAlignment="1">
      <alignment horizontal="right"/>
    </xf>
    <xf numFmtId="2" fontId="0" fillId="0" borderId="1" xfId="0" applyNumberFormat="1" applyFont="1" applyBorder="1"/>
    <xf numFmtId="10" fontId="0" fillId="0" borderId="1" xfId="0" applyNumberFormat="1" applyFont="1" applyBorder="1" applyAlignment="1">
      <alignment horizontal="center"/>
    </xf>
    <xf numFmtId="10" fontId="5" fillId="5" borderId="1" xfId="0" applyNumberFormat="1" applyFont="1" applyFill="1" applyBorder="1" applyAlignment="1">
      <alignment horizontal="center"/>
    </xf>
    <xf numFmtId="10" fontId="0" fillId="5" borderId="1" xfId="0" applyNumberFormat="1" applyFont="1" applyFill="1" applyBorder="1" applyAlignment="1">
      <alignment horizontal="center"/>
    </xf>
    <xf numFmtId="2" fontId="0" fillId="0" borderId="0" xfId="0" applyNumberFormat="1"/>
    <xf numFmtId="0" fontId="2" fillId="5" borderId="1" xfId="0" applyFont="1" applyFill="1" applyBorder="1" applyAlignment="1">
      <alignment horizontal="center"/>
    </xf>
    <xf numFmtId="10" fontId="0" fillId="0" borderId="1" xfId="0" applyNumberFormat="1" applyBorder="1" applyAlignment="1"/>
    <xf numFmtId="10" fontId="2" fillId="0" borderId="1" xfId="2" applyNumberFormat="1" applyFont="1" applyBorder="1" applyAlignment="1" applyProtection="1">
      <alignment horizontal="center"/>
    </xf>
    <xf numFmtId="2" fontId="0" fillId="0" borderId="1" xfId="0" applyNumberFormat="1" applyFont="1" applyBorder="1" applyAlignment="1">
      <alignment horizontal="center"/>
    </xf>
    <xf numFmtId="10" fontId="6" fillId="0" borderId="1" xfId="2" applyNumberFormat="1" applyBorder="1" applyAlignment="1" applyProtection="1"/>
    <xf numFmtId="9" fontId="6" fillId="0" borderId="1" xfId="2" applyBorder="1" applyAlignment="1" applyProtection="1"/>
    <xf numFmtId="2" fontId="2" fillId="0" borderId="0" xfId="0" applyNumberFormat="1" applyFont="1" applyBorder="1"/>
    <xf numFmtId="0" fontId="2" fillId="0" borderId="9" xfId="0" applyFont="1" applyBorder="1" applyAlignment="1">
      <alignment horizontal="center" wrapText="1"/>
    </xf>
    <xf numFmtId="0" fontId="0" fillId="0" borderId="13" xfId="0" applyFont="1" applyBorder="1" applyAlignment="1"/>
    <xf numFmtId="0" fontId="0" fillId="0" borderId="11" xfId="0" applyFont="1" applyBorder="1" applyAlignment="1"/>
    <xf numFmtId="2" fontId="0" fillId="0" borderId="14" xfId="0" applyNumberFormat="1" applyFont="1" applyBorder="1"/>
    <xf numFmtId="0" fontId="0" fillId="0" borderId="2" xfId="0" applyFont="1" applyBorder="1" applyAlignment="1"/>
    <xf numFmtId="0" fontId="0" fillId="0" borderId="15" xfId="0" applyFont="1" applyBorder="1" applyAlignment="1"/>
    <xf numFmtId="2" fontId="0" fillId="0" borderId="16" xfId="0" applyNumberFormat="1" applyFont="1" applyBorder="1"/>
    <xf numFmtId="0" fontId="2" fillId="0" borderId="2" xfId="0" applyFont="1" applyBorder="1" applyAlignment="1"/>
    <xf numFmtId="0" fontId="2" fillId="0" borderId="15" xfId="0" applyFont="1" applyBorder="1" applyAlignment="1"/>
    <xf numFmtId="0" fontId="0" fillId="0" borderId="19" xfId="0" applyFont="1" applyBorder="1" applyAlignment="1"/>
    <xf numFmtId="0" fontId="0" fillId="0" borderId="18" xfId="0" applyFont="1" applyBorder="1" applyAlignment="1"/>
    <xf numFmtId="2" fontId="0" fillId="0" borderId="20" xfId="0" applyNumberFormat="1" applyFont="1" applyBorder="1"/>
    <xf numFmtId="2" fontId="2" fillId="0" borderId="22" xfId="0" applyNumberFormat="1" applyFont="1" applyBorder="1"/>
    <xf numFmtId="0" fontId="0" fillId="0" borderId="24" xfId="0" applyFont="1" applyBorder="1" applyAlignment="1">
      <alignment horizontal="center"/>
    </xf>
    <xf numFmtId="2" fontId="0" fillId="0" borderId="26" xfId="0" applyNumberFormat="1" applyFont="1" applyBorder="1"/>
    <xf numFmtId="0" fontId="0" fillId="0" borderId="27" xfId="0" applyFont="1" applyBorder="1" applyAlignment="1">
      <alignment horizontal="center"/>
    </xf>
    <xf numFmtId="2" fontId="0" fillId="0" borderId="28" xfId="0" applyNumberFormat="1" applyFont="1" applyBorder="1"/>
    <xf numFmtId="0" fontId="0" fillId="0" borderId="0" xfId="0"/>
    <xf numFmtId="10" fontId="0" fillId="7" borderId="1" xfId="0" applyNumberFormat="1" applyFill="1" applyBorder="1" applyAlignment="1">
      <alignment horizontal="center"/>
    </xf>
    <xf numFmtId="0" fontId="0" fillId="6" borderId="0" xfId="0" applyFill="1"/>
    <xf numFmtId="0" fontId="0" fillId="6" borderId="0" xfId="0" applyFill="1" applyBorder="1"/>
    <xf numFmtId="0" fontId="0" fillId="7" borderId="0" xfId="0" applyFill="1" applyBorder="1"/>
    <xf numFmtId="0" fontId="0" fillId="0" borderId="1" xfId="0" applyFont="1" applyFill="1" applyBorder="1" applyAlignment="1">
      <alignment horizontal="center"/>
    </xf>
    <xf numFmtId="165" fontId="6" fillId="0" borderId="0" xfId="1"/>
    <xf numFmtId="43" fontId="0" fillId="0" borderId="0" xfId="0" applyNumberFormat="1"/>
    <xf numFmtId="10" fontId="6" fillId="0" borderId="0" xfId="2" applyNumberFormat="1"/>
    <xf numFmtId="10" fontId="0" fillId="7" borderId="1" xfId="0" applyNumberFormat="1" applyFont="1" applyFill="1" applyBorder="1" applyAlignment="1">
      <alignment horizontal="center"/>
    </xf>
    <xf numFmtId="165" fontId="6" fillId="0" borderId="1" xfId="1" applyBorder="1"/>
    <xf numFmtId="0" fontId="0" fillId="0" borderId="23" xfId="0" applyFont="1" applyBorder="1" applyAlignment="1">
      <alignment horizontal="center"/>
    </xf>
    <xf numFmtId="0" fontId="0" fillId="0" borderId="0"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center"/>
    </xf>
    <xf numFmtId="0" fontId="2" fillId="0" borderId="8" xfId="0" applyFont="1" applyBorder="1" applyAlignment="1">
      <alignment horizontal="center" wrapText="1"/>
    </xf>
    <xf numFmtId="0" fontId="0" fillId="0" borderId="0" xfId="0" applyFont="1" applyBorder="1" applyAlignment="1">
      <alignment horizontal="left"/>
    </xf>
    <xf numFmtId="0" fontId="0" fillId="0" borderId="1" xfId="0" applyFont="1" applyBorder="1" applyAlignment="1">
      <alignment horizontal="center"/>
    </xf>
    <xf numFmtId="0" fontId="1" fillId="0" borderId="0" xfId="0" applyFont="1" applyBorder="1" applyAlignment="1">
      <alignment horizontal="center" vertical="center"/>
    </xf>
    <xf numFmtId="0" fontId="1" fillId="0" borderId="0" xfId="0" applyFont="1" applyBorder="1" applyAlignment="1">
      <alignment horizontal="center"/>
    </xf>
    <xf numFmtId="10" fontId="0" fillId="0" borderId="0" xfId="0" applyNumberFormat="1"/>
    <xf numFmtId="2" fontId="0" fillId="8" borderId="1" xfId="0" applyNumberFormat="1" applyFont="1" applyFill="1" applyBorder="1"/>
    <xf numFmtId="0" fontId="1" fillId="0" borderId="0" xfId="0" applyFont="1" applyBorder="1" applyAlignment="1">
      <alignment horizontal="center"/>
    </xf>
    <xf numFmtId="0" fontId="1" fillId="0" borderId="0" xfId="0" applyFont="1" applyBorder="1" applyAlignment="1">
      <alignment horizontal="center" vertical="center"/>
    </xf>
    <xf numFmtId="0" fontId="0" fillId="0" borderId="1" xfId="0" applyFont="1" applyBorder="1" applyAlignment="1">
      <alignment horizontal="center"/>
    </xf>
    <xf numFmtId="0" fontId="2" fillId="0" borderId="1" xfId="0" applyFont="1" applyBorder="1" applyAlignment="1">
      <alignment horizontal="center"/>
    </xf>
    <xf numFmtId="0" fontId="0" fillId="0" borderId="0" xfId="0" applyFont="1" applyBorder="1" applyAlignment="1">
      <alignment horizontal="left"/>
    </xf>
    <xf numFmtId="0" fontId="0" fillId="0" borderId="0" xfId="0" applyFont="1" applyBorder="1" applyAlignment="1">
      <alignment horizontal="center"/>
    </xf>
    <xf numFmtId="0" fontId="2" fillId="0" borderId="8" xfId="0" applyFont="1" applyBorder="1" applyAlignment="1">
      <alignment horizontal="center" wrapText="1"/>
    </xf>
    <xf numFmtId="0" fontId="0" fillId="0" borderId="23" xfId="0" applyFont="1" applyBorder="1" applyAlignment="1">
      <alignment horizontal="center"/>
    </xf>
    <xf numFmtId="0" fontId="2" fillId="0" borderId="8" xfId="0" applyFont="1" applyBorder="1" applyAlignment="1">
      <alignment horizontal="center"/>
    </xf>
    <xf numFmtId="0" fontId="1" fillId="0" borderId="0" xfId="0" applyFont="1" applyBorder="1" applyAlignment="1">
      <alignment horizontal="center"/>
    </xf>
    <xf numFmtId="0" fontId="1" fillId="0" borderId="0" xfId="0" applyFont="1" applyBorder="1" applyAlignment="1">
      <alignment horizontal="center" vertical="center"/>
    </xf>
    <xf numFmtId="0" fontId="0" fillId="0" borderId="1" xfId="0" applyFont="1" applyBorder="1" applyAlignment="1">
      <alignment horizontal="center"/>
    </xf>
    <xf numFmtId="0" fontId="2" fillId="0" borderId="1" xfId="0" applyFont="1" applyBorder="1" applyAlignment="1">
      <alignment horizontal="center"/>
    </xf>
    <xf numFmtId="0" fontId="0" fillId="0" borderId="0" xfId="0" applyFont="1" applyBorder="1" applyAlignment="1">
      <alignment horizontal="left"/>
    </xf>
    <xf numFmtId="0" fontId="0" fillId="0" borderId="0" xfId="0" applyFont="1" applyBorder="1" applyAlignment="1">
      <alignment horizontal="center"/>
    </xf>
    <xf numFmtId="0" fontId="2" fillId="0" borderId="8" xfId="0" applyFont="1" applyBorder="1" applyAlignment="1">
      <alignment horizontal="center" wrapText="1"/>
    </xf>
    <xf numFmtId="0" fontId="0" fillId="0" borderId="23" xfId="0" applyFont="1" applyBorder="1" applyAlignment="1">
      <alignment horizontal="center"/>
    </xf>
    <xf numFmtId="0" fontId="2" fillId="0" borderId="8" xfId="0" applyFont="1" applyBorder="1" applyAlignment="1">
      <alignment horizontal="center"/>
    </xf>
    <xf numFmtId="0" fontId="0" fillId="0" borderId="0" xfId="0" applyAlignment="1">
      <alignment horizontal="center" vertical="center" wrapText="1"/>
    </xf>
    <xf numFmtId="0" fontId="0" fillId="9" borderId="1" xfId="0" applyFill="1" applyBorder="1" applyAlignment="1">
      <alignment horizontal="center" vertical="center" wrapText="1"/>
    </xf>
    <xf numFmtId="0" fontId="0" fillId="9" borderId="1" xfId="0" applyFill="1" applyBorder="1"/>
    <xf numFmtId="165" fontId="6" fillId="9" borderId="1" xfId="1" applyFill="1" applyBorder="1"/>
    <xf numFmtId="43" fontId="0" fillId="9" borderId="1" xfId="0" applyNumberFormat="1" applyFill="1" applyBorder="1"/>
    <xf numFmtId="0" fontId="0" fillId="9" borderId="4" xfId="0" applyFill="1" applyBorder="1" applyAlignment="1">
      <alignment horizontal="center"/>
    </xf>
    <xf numFmtId="0" fontId="0" fillId="9" borderId="2" xfId="0" applyFill="1" applyBorder="1" applyAlignment="1">
      <alignment horizontal="center"/>
    </xf>
    <xf numFmtId="0" fontId="0" fillId="9" borderId="1" xfId="0" applyFill="1" applyBorder="1" applyAlignment="1">
      <alignment wrapText="1"/>
    </xf>
    <xf numFmtId="0" fontId="0" fillId="9" borderId="1" xfId="0" applyFill="1" applyBorder="1" applyAlignment="1">
      <alignment horizontal="center"/>
    </xf>
    <xf numFmtId="2" fontId="0" fillId="9" borderId="1" xfId="0" applyNumberFormat="1" applyFill="1" applyBorder="1" applyAlignment="1">
      <alignment horizontal="center" vertical="center"/>
    </xf>
    <xf numFmtId="0" fontId="0" fillId="9" borderId="0" xfId="0" applyFill="1"/>
    <xf numFmtId="0" fontId="0" fillId="10" borderId="1" xfId="0" applyFill="1" applyBorder="1" applyAlignment="1">
      <alignment horizontal="center" vertical="center" wrapText="1"/>
    </xf>
    <xf numFmtId="0" fontId="0" fillId="10" borderId="1" xfId="0" applyFill="1" applyBorder="1"/>
    <xf numFmtId="165" fontId="6" fillId="10" borderId="1" xfId="1" applyFill="1" applyBorder="1"/>
    <xf numFmtId="43" fontId="0" fillId="10" borderId="1" xfId="0" applyNumberFormat="1" applyFill="1" applyBorder="1"/>
    <xf numFmtId="0" fontId="0" fillId="10" borderId="4" xfId="0" applyFill="1" applyBorder="1" applyAlignment="1">
      <alignment horizontal="center"/>
    </xf>
    <xf numFmtId="0" fontId="0" fillId="10" borderId="2" xfId="0" applyFill="1" applyBorder="1" applyAlignment="1">
      <alignment horizontal="center"/>
    </xf>
    <xf numFmtId="0" fontId="0" fillId="10" borderId="1" xfId="0" applyFill="1" applyBorder="1" applyAlignment="1">
      <alignment horizontal="center"/>
    </xf>
    <xf numFmtId="0" fontId="0" fillId="10" borderId="0" xfId="0" applyFill="1"/>
    <xf numFmtId="0" fontId="2" fillId="12" borderId="35" xfId="5" applyFont="1" applyFill="1" applyBorder="1" applyAlignment="1" applyProtection="1">
      <alignment horizontal="center" vertical="top"/>
      <protection locked="0"/>
    </xf>
    <xf numFmtId="0" fontId="2" fillId="12" borderId="35" xfId="5" applyFont="1" applyFill="1" applyBorder="1" applyAlignment="1" applyProtection="1">
      <alignment horizontal="center" vertical="top" wrapText="1"/>
      <protection locked="0"/>
    </xf>
    <xf numFmtId="0" fontId="2" fillId="12" borderId="36" xfId="5" applyFont="1" applyFill="1" applyBorder="1" applyAlignment="1" applyProtection="1">
      <alignment horizontal="center" vertical="top" wrapText="1"/>
      <protection locked="0"/>
    </xf>
    <xf numFmtId="0" fontId="10" fillId="13" borderId="35" xfId="6" applyFont="1" applyFill="1" applyBorder="1" applyAlignment="1" applyProtection="1">
      <alignment horizontal="center" vertical="top" wrapText="1"/>
      <protection locked="0"/>
    </xf>
    <xf numFmtId="0" fontId="8" fillId="12" borderId="37" xfId="0" applyFont="1" applyFill="1" applyBorder="1"/>
    <xf numFmtId="0" fontId="11" fillId="12" borderId="37" xfId="5" applyFont="1" applyFill="1" applyBorder="1" applyAlignment="1">
      <alignment horizontal="center"/>
    </xf>
    <xf numFmtId="0" fontId="8" fillId="12" borderId="37" xfId="5" applyFont="1" applyFill="1" applyBorder="1" applyAlignment="1">
      <alignment horizontal="center"/>
    </xf>
    <xf numFmtId="0" fontId="2" fillId="12" borderId="38" xfId="5" applyFont="1" applyFill="1" applyBorder="1" applyAlignment="1" applyProtection="1">
      <alignment horizontal="center" vertical="top" wrapText="1"/>
      <protection locked="0"/>
    </xf>
    <xf numFmtId="169" fontId="12" fillId="13" borderId="39" xfId="7" applyNumberFormat="1" applyFont="1" applyFill="1" applyBorder="1" applyAlignment="1" applyProtection="1">
      <alignment horizontal="right"/>
    </xf>
    <xf numFmtId="0" fontId="8" fillId="12" borderId="37" xfId="5" applyFont="1" applyFill="1" applyBorder="1"/>
    <xf numFmtId="170" fontId="12" fillId="13" borderId="37" xfId="4" applyNumberFormat="1" applyFont="1" applyFill="1" applyBorder="1" applyAlignment="1">
      <alignment horizontal="center"/>
    </xf>
    <xf numFmtId="171" fontId="8" fillId="12" borderId="40" xfId="5" applyNumberFormat="1" applyFont="1" applyFill="1" applyBorder="1"/>
    <xf numFmtId="172" fontId="8" fillId="12" borderId="37" xfId="8" applyNumberFormat="1" applyFont="1" applyFill="1" applyBorder="1" applyAlignment="1">
      <alignment horizontal="right"/>
    </xf>
    <xf numFmtId="0" fontId="8" fillId="12" borderId="41" xfId="5" applyFont="1" applyFill="1" applyBorder="1"/>
    <xf numFmtId="0" fontId="8" fillId="12" borderId="41" xfId="5" applyFont="1" applyFill="1" applyBorder="1" applyAlignment="1">
      <alignment horizontal="center"/>
    </xf>
    <xf numFmtId="171" fontId="8" fillId="12" borderId="42" xfId="5" applyNumberFormat="1" applyFont="1" applyFill="1" applyBorder="1"/>
    <xf numFmtId="172" fontId="8" fillId="12" borderId="41" xfId="8" applyNumberFormat="1" applyFont="1" applyFill="1" applyBorder="1" applyAlignment="1">
      <alignment horizontal="right"/>
    </xf>
    <xf numFmtId="172" fontId="8" fillId="12" borderId="46" xfId="5" applyNumberFormat="1" applyFont="1" applyFill="1" applyBorder="1" applyAlignment="1">
      <alignment horizontal="right"/>
    </xf>
    <xf numFmtId="0" fontId="8" fillId="0" borderId="0" xfId="5" applyFont="1" applyAlignment="1">
      <alignment horizontal="right"/>
    </xf>
    <xf numFmtId="173" fontId="8" fillId="0" borderId="0" xfId="5" applyNumberFormat="1" applyFont="1" applyAlignment="1">
      <alignment horizontal="center"/>
    </xf>
    <xf numFmtId="0" fontId="6" fillId="11" borderId="0" xfId="5" applyFill="1" applyProtection="1">
      <protection locked="0"/>
    </xf>
    <xf numFmtId="0" fontId="2" fillId="0" borderId="1" xfId="0" applyFont="1" applyBorder="1" applyAlignment="1">
      <alignment horizontal="center"/>
    </xf>
    <xf numFmtId="0" fontId="1" fillId="0" borderId="0" xfId="0" applyFont="1" applyBorder="1" applyAlignment="1">
      <alignment horizontal="center"/>
    </xf>
    <xf numFmtId="0" fontId="1" fillId="0" borderId="0" xfId="0" applyFont="1" applyBorder="1" applyAlignment="1">
      <alignment horizontal="center" vertical="center"/>
    </xf>
    <xf numFmtId="0" fontId="0" fillId="0" borderId="1" xfId="0" applyFont="1" applyBorder="1" applyAlignment="1">
      <alignment horizontal="center"/>
    </xf>
    <xf numFmtId="0" fontId="2" fillId="0" borderId="1" xfId="0" applyFont="1" applyBorder="1" applyAlignment="1">
      <alignment horizontal="center"/>
    </xf>
    <xf numFmtId="0" fontId="0" fillId="0" borderId="0" xfId="0" applyFont="1" applyBorder="1" applyAlignment="1">
      <alignment horizontal="left"/>
    </xf>
    <xf numFmtId="0" fontId="0" fillId="0" borderId="0" xfId="0" applyFont="1" applyBorder="1" applyAlignment="1">
      <alignment horizontal="center"/>
    </xf>
    <xf numFmtId="0" fontId="2" fillId="0" borderId="8" xfId="0" applyFont="1" applyBorder="1" applyAlignment="1">
      <alignment horizontal="center" wrapText="1"/>
    </xf>
    <xf numFmtId="0" fontId="0" fillId="0" borderId="23" xfId="0" applyFont="1" applyBorder="1" applyAlignment="1">
      <alignment horizontal="center"/>
    </xf>
    <xf numFmtId="0" fontId="2" fillId="0" borderId="8" xfId="0" applyFont="1" applyBorder="1" applyAlignment="1">
      <alignment horizontal="center"/>
    </xf>
    <xf numFmtId="0" fontId="0" fillId="0" borderId="0" xfId="0" applyAlignment="1">
      <alignment horizontal="center"/>
    </xf>
    <xf numFmtId="0" fontId="0" fillId="0" borderId="47" xfId="0" applyBorder="1" applyAlignment="1">
      <alignment horizontal="center"/>
    </xf>
    <xf numFmtId="165" fontId="6" fillId="0" borderId="47" xfId="1" applyBorder="1"/>
    <xf numFmtId="2" fontId="0" fillId="0" borderId="1" xfId="0" applyNumberFormat="1" applyBorder="1" applyAlignment="1">
      <alignment wrapText="1"/>
    </xf>
    <xf numFmtId="0" fontId="2" fillId="0" borderId="1" xfId="0" applyFont="1" applyBorder="1" applyAlignment="1">
      <alignment horizontal="center" vertical="center"/>
    </xf>
    <xf numFmtId="165" fontId="6" fillId="0" borderId="1" xfId="1" applyBorder="1" applyAlignment="1">
      <alignment vertical="center"/>
    </xf>
    <xf numFmtId="2" fontId="0" fillId="5" borderId="1" xfId="0" applyNumberFormat="1" applyFill="1" applyBorder="1" applyAlignment="1">
      <alignment horizontal="left" vertical="center" wrapText="1"/>
    </xf>
    <xf numFmtId="2" fontId="0" fillId="0" borderId="1" xfId="0" applyNumberFormat="1" applyBorder="1" applyAlignment="1">
      <alignment horizontal="left" vertical="center" wrapText="1"/>
    </xf>
    <xf numFmtId="0" fontId="2" fillId="0" borderId="1" xfId="0" applyFont="1" applyBorder="1" applyAlignment="1">
      <alignment vertical="center"/>
    </xf>
    <xf numFmtId="2" fontId="0" fillId="0" borderId="1" xfId="0" applyNumberFormat="1" applyFont="1" applyBorder="1" applyAlignment="1">
      <alignment vertical="center" wrapText="1"/>
    </xf>
    <xf numFmtId="0" fontId="0" fillId="6" borderId="0" xfId="0" applyFill="1" applyBorder="1" applyAlignment="1">
      <alignment vertical="center"/>
    </xf>
    <xf numFmtId="0" fontId="0" fillId="0" borderId="0" xfId="0" applyAlignment="1">
      <alignment vertical="center"/>
    </xf>
    <xf numFmtId="2" fontId="0" fillId="0" borderId="1" xfId="0" applyNumberFormat="1" applyBorder="1" applyAlignment="1">
      <alignment vertical="center" wrapText="1"/>
    </xf>
    <xf numFmtId="10" fontId="0" fillId="0" borderId="1" xfId="0" applyNumberFormat="1" applyFont="1" applyBorder="1" applyAlignment="1">
      <alignment horizontal="center" vertical="center"/>
    </xf>
    <xf numFmtId="10" fontId="0" fillId="7" borderId="1" xfId="0" applyNumberFormat="1" applyFill="1" applyBorder="1" applyAlignment="1">
      <alignment horizontal="center" vertical="center"/>
    </xf>
    <xf numFmtId="10" fontId="0" fillId="0" borderId="1" xfId="0" applyNumberFormat="1" applyBorder="1" applyAlignment="1">
      <alignment vertical="center"/>
    </xf>
    <xf numFmtId="164" fontId="0" fillId="0" borderId="47" xfId="0" applyNumberFormat="1" applyBorder="1" applyAlignment="1">
      <alignment horizontal="center"/>
    </xf>
    <xf numFmtId="0" fontId="1" fillId="0" borderId="0" xfId="0" applyFont="1" applyAlignment="1">
      <alignment horizontal="center" vertical="center"/>
    </xf>
    <xf numFmtId="0" fontId="0" fillId="0" borderId="0" xfId="0" applyAlignment="1">
      <alignment horizontal="left"/>
    </xf>
    <xf numFmtId="0" fontId="1" fillId="0" borderId="0" xfId="0" applyFont="1" applyAlignment="1">
      <alignment horizontal="center"/>
    </xf>
    <xf numFmtId="166" fontId="0" fillId="0" borderId="47" xfId="0" applyNumberFormat="1" applyBorder="1" applyAlignment="1">
      <alignment horizontal="center"/>
    </xf>
    <xf numFmtId="0" fontId="2" fillId="0" borderId="47" xfId="0" applyFont="1" applyBorder="1" applyAlignment="1">
      <alignment horizontal="center"/>
    </xf>
    <xf numFmtId="0" fontId="0" fillId="0" borderId="47" xfId="0" applyBorder="1"/>
    <xf numFmtId="2" fontId="0" fillId="0" borderId="47" xfId="0" applyNumberFormat="1" applyBorder="1"/>
    <xf numFmtId="10" fontId="6" fillId="0" borderId="47" xfId="2" applyNumberFormat="1" applyBorder="1" applyAlignment="1" applyProtection="1">
      <alignment horizontal="center"/>
    </xf>
    <xf numFmtId="2" fontId="2" fillId="0" borderId="47" xfId="0" applyNumberFormat="1" applyFont="1" applyBorder="1"/>
    <xf numFmtId="0" fontId="2" fillId="0" borderId="0" xfId="0" applyFont="1" applyAlignment="1">
      <alignment horizontal="center"/>
    </xf>
    <xf numFmtId="2" fontId="2" fillId="0" borderId="0" xfId="0" applyNumberFormat="1" applyFont="1"/>
    <xf numFmtId="10" fontId="0" fillId="4" borderId="47" xfId="0" applyNumberFormat="1" applyFill="1" applyBorder="1" applyAlignment="1">
      <alignment horizontal="center"/>
    </xf>
    <xf numFmtId="10" fontId="2" fillId="0" borderId="47" xfId="0" applyNumberFormat="1" applyFont="1" applyBorder="1" applyAlignment="1">
      <alignment horizontal="center"/>
    </xf>
    <xf numFmtId="2" fontId="0" fillId="0" borderId="47" xfId="0" applyNumberFormat="1" applyBorder="1" applyAlignment="1">
      <alignment horizontal="right"/>
    </xf>
    <xf numFmtId="2" fontId="0" fillId="5" borderId="47" xfId="0" applyNumberFormat="1" applyFill="1" applyBorder="1" applyAlignment="1">
      <alignment horizontal="right"/>
    </xf>
    <xf numFmtId="0" fontId="0" fillId="7" borderId="0" xfId="0" applyFill="1"/>
    <xf numFmtId="10" fontId="0" fillId="0" borderId="47" xfId="0" applyNumberFormat="1" applyBorder="1" applyAlignment="1">
      <alignment horizontal="center"/>
    </xf>
    <xf numFmtId="10" fontId="5" fillId="5" borderId="47" xfId="0" applyNumberFormat="1" applyFont="1" applyFill="1" applyBorder="1" applyAlignment="1">
      <alignment horizontal="center"/>
    </xf>
    <xf numFmtId="10" fontId="0" fillId="7" borderId="47" xfId="0" applyNumberFormat="1" applyFill="1" applyBorder="1" applyAlignment="1">
      <alignment horizontal="center"/>
    </xf>
    <xf numFmtId="10" fontId="0" fillId="5" borderId="47" xfId="0" applyNumberFormat="1" applyFill="1" applyBorder="1" applyAlignment="1">
      <alignment horizontal="center"/>
    </xf>
    <xf numFmtId="2" fontId="0" fillId="8" borderId="47" xfId="0" applyNumberFormat="1" applyFill="1" applyBorder="1"/>
    <xf numFmtId="0" fontId="2" fillId="5" borderId="47" xfId="0" applyFont="1" applyFill="1" applyBorder="1" applyAlignment="1">
      <alignment horizontal="center"/>
    </xf>
    <xf numFmtId="10" fontId="0" fillId="0" borderId="47" xfId="0" applyNumberFormat="1" applyBorder="1"/>
    <xf numFmtId="10" fontId="2" fillId="0" borderId="47" xfId="2" applyNumberFormat="1" applyFont="1" applyBorder="1" applyAlignment="1" applyProtection="1">
      <alignment horizontal="center"/>
    </xf>
    <xf numFmtId="2" fontId="0" fillId="0" borderId="47" xfId="0" applyNumberFormat="1" applyBorder="1" applyAlignment="1">
      <alignment horizontal="center"/>
    </xf>
    <xf numFmtId="10" fontId="6" fillId="0" borderId="47" xfId="2" applyNumberFormat="1" applyBorder="1" applyProtection="1"/>
    <xf numFmtId="9" fontId="6" fillId="0" borderId="47" xfId="2" applyBorder="1" applyProtection="1"/>
    <xf numFmtId="0" fontId="0" fillId="0" borderId="13" xfId="0" applyBorder="1"/>
    <xf numFmtId="0" fontId="0" fillId="0" borderId="11" xfId="0" applyBorder="1"/>
    <xf numFmtId="2" fontId="0" fillId="0" borderId="14" xfId="0" applyNumberFormat="1" applyBorder="1"/>
    <xf numFmtId="0" fontId="0" fillId="0" borderId="56" xfId="0" applyBorder="1"/>
    <xf numFmtId="0" fontId="0" fillId="0" borderId="61" xfId="0" applyBorder="1"/>
    <xf numFmtId="2" fontId="0" fillId="0" borderId="62" xfId="0" applyNumberFormat="1" applyBorder="1"/>
    <xf numFmtId="0" fontId="2" fillId="0" borderId="56" xfId="0" applyFont="1" applyBorder="1"/>
    <xf numFmtId="0" fontId="2" fillId="0" borderId="61" xfId="0" applyFont="1" applyBorder="1"/>
    <xf numFmtId="0" fontId="0" fillId="0" borderId="65" xfId="0" applyBorder="1"/>
    <xf numFmtId="0" fontId="0" fillId="0" borderId="64" xfId="0" applyBorder="1"/>
    <xf numFmtId="2" fontId="0" fillId="0" borderId="66" xfId="0" applyNumberFormat="1" applyBorder="1"/>
    <xf numFmtId="0" fontId="0" fillId="0" borderId="23" xfId="0" applyBorder="1" applyAlignment="1">
      <alignment horizontal="center"/>
    </xf>
    <xf numFmtId="0" fontId="0" fillId="0" borderId="24" xfId="0" applyBorder="1" applyAlignment="1">
      <alignment horizontal="center"/>
    </xf>
    <xf numFmtId="2" fontId="0" fillId="0" borderId="26" xfId="0" applyNumberFormat="1" applyBorder="1"/>
    <xf numFmtId="0" fontId="0" fillId="0" borderId="67" xfId="0" applyBorder="1" applyAlignment="1">
      <alignment horizontal="center"/>
    </xf>
    <xf numFmtId="2" fontId="0" fillId="0" borderId="68" xfId="0" applyNumberFormat="1" applyBorder="1"/>
    <xf numFmtId="0" fontId="13" fillId="0" borderId="0" xfId="0" applyFont="1"/>
    <xf numFmtId="0" fontId="13" fillId="14" borderId="73" xfId="0" applyFont="1" applyFill="1" applyBorder="1" applyAlignment="1">
      <alignment horizontal="center"/>
    </xf>
    <xf numFmtId="0" fontId="13" fillId="14" borderId="74" xfId="0" applyFont="1" applyFill="1" applyBorder="1"/>
    <xf numFmtId="0" fontId="13" fillId="14" borderId="75" xfId="0" applyFont="1" applyFill="1" applyBorder="1"/>
    <xf numFmtId="0" fontId="13" fillId="14" borderId="76" xfId="0" applyFont="1" applyFill="1" applyBorder="1"/>
    <xf numFmtId="0" fontId="13" fillId="14" borderId="77" xfId="0" applyFont="1" applyFill="1" applyBorder="1" applyAlignment="1">
      <alignment horizontal="center"/>
    </xf>
    <xf numFmtId="0" fontId="14" fillId="15" borderId="78" xfId="0" applyFont="1" applyFill="1" applyBorder="1"/>
    <xf numFmtId="0" fontId="13" fillId="15" borderId="13" xfId="0" applyFont="1" applyFill="1" applyBorder="1"/>
    <xf numFmtId="174" fontId="14" fillId="15" borderId="11" xfId="4" applyNumberFormat="1" applyFont="1" applyFill="1" applyBorder="1" applyAlignment="1">
      <alignment horizontal="center"/>
    </xf>
    <xf numFmtId="0" fontId="14" fillId="15" borderId="74" xfId="0" applyFont="1" applyFill="1" applyBorder="1"/>
    <xf numFmtId="0" fontId="14" fillId="15" borderId="75" xfId="0" applyFont="1" applyFill="1" applyBorder="1"/>
    <xf numFmtId="174" fontId="14" fillId="15" borderId="77" xfId="0" applyNumberFormat="1" applyFont="1" applyFill="1" applyBorder="1" applyAlignment="1">
      <alignment horizontal="right"/>
    </xf>
    <xf numFmtId="175" fontId="13" fillId="15" borderId="76" xfId="0" applyNumberFormat="1" applyFont="1" applyFill="1" applyBorder="1"/>
    <xf numFmtId="0" fontId="15" fillId="0" borderId="80" xfId="0" applyFont="1" applyBorder="1" applyAlignment="1">
      <alignment horizontal="center" vertical="center" wrapText="1"/>
    </xf>
    <xf numFmtId="0" fontId="16" fillId="0" borderId="80" xfId="0" applyFont="1" applyBorder="1" applyAlignment="1">
      <alignment horizontal="center" vertical="center"/>
    </xf>
    <xf numFmtId="0" fontId="17" fillId="0" borderId="80" xfId="0" applyFont="1" applyBorder="1" applyAlignment="1">
      <alignment horizontal="center" vertical="center" wrapText="1"/>
    </xf>
    <xf numFmtId="0" fontId="17" fillId="0" borderId="0" xfId="0" applyFont="1" applyAlignment="1">
      <alignment horizontal="center" vertical="center"/>
    </xf>
    <xf numFmtId="176" fontId="18" fillId="0" borderId="83" xfId="0" applyNumberFormat="1" applyFont="1" applyBorder="1" applyAlignment="1">
      <alignment horizontal="center" vertical="center" shrinkToFit="1"/>
    </xf>
    <xf numFmtId="2" fontId="19" fillId="0" borderId="80" xfId="0" applyNumberFormat="1" applyFont="1" applyBorder="1" applyAlignment="1">
      <alignment horizontal="center" vertical="center" shrinkToFit="1"/>
    </xf>
    <xf numFmtId="176" fontId="18" fillId="0" borderId="86" xfId="0" applyNumberFormat="1" applyFont="1" applyBorder="1" applyAlignment="1">
      <alignment horizontal="center" vertical="center" shrinkToFit="1"/>
    </xf>
    <xf numFmtId="1" fontId="18" fillId="0" borderId="81" xfId="0" applyNumberFormat="1" applyFont="1" applyBorder="1" applyAlignment="1">
      <alignment horizontal="center" vertical="center" shrinkToFit="1"/>
    </xf>
    <xf numFmtId="0" fontId="17" fillId="0" borderId="82" xfId="0" applyFont="1" applyBorder="1" applyAlignment="1">
      <alignment horizontal="center" vertical="center" wrapText="1"/>
    </xf>
    <xf numFmtId="1" fontId="18" fillId="0" borderId="84" xfId="0" applyNumberFormat="1" applyFont="1" applyBorder="1" applyAlignment="1">
      <alignment horizontal="center" vertical="center" shrinkToFit="1"/>
    </xf>
    <xf numFmtId="0" fontId="17" fillId="0" borderId="85" xfId="0" applyFont="1" applyBorder="1" applyAlignment="1">
      <alignment horizontal="center" vertical="center" wrapText="1"/>
    </xf>
    <xf numFmtId="1" fontId="18" fillId="0" borderId="87" xfId="0" applyNumberFormat="1" applyFont="1" applyBorder="1" applyAlignment="1">
      <alignment horizontal="center" vertical="center" shrinkToFit="1"/>
    </xf>
    <xf numFmtId="0" fontId="17" fillId="0" borderId="88" xfId="0" applyFont="1" applyBorder="1" applyAlignment="1">
      <alignment horizontal="center" vertical="center" wrapText="1"/>
    </xf>
    <xf numFmtId="176" fontId="18" fillId="0" borderId="89" xfId="0" applyNumberFormat="1" applyFont="1" applyBorder="1" applyAlignment="1">
      <alignment horizontal="center" vertical="center" shrinkToFit="1"/>
    </xf>
    <xf numFmtId="1" fontId="18" fillId="0" borderId="80" xfId="0" applyNumberFormat="1" applyFont="1" applyBorder="1" applyAlignment="1">
      <alignment horizontal="center" vertical="center" shrinkToFit="1"/>
    </xf>
    <xf numFmtId="176" fontId="18" fillId="0" borderId="80" xfId="0" applyNumberFormat="1" applyFont="1" applyBorder="1" applyAlignment="1">
      <alignment horizontal="center" vertical="center" shrinkToFit="1"/>
    </xf>
    <xf numFmtId="2" fontId="20" fillId="0" borderId="80" xfId="0" applyNumberFormat="1" applyFont="1" applyBorder="1" applyAlignment="1">
      <alignment horizontal="center" vertical="center" shrinkToFit="1"/>
    </xf>
    <xf numFmtId="0" fontId="21" fillId="0" borderId="0" xfId="0" applyFont="1"/>
    <xf numFmtId="0" fontId="22" fillId="0" borderId="80" xfId="0" applyFont="1" applyBorder="1" applyAlignment="1">
      <alignment horizontal="center" vertical="top" wrapText="1"/>
    </xf>
    <xf numFmtId="0" fontId="21" fillId="0" borderId="80" xfId="0" applyFont="1" applyBorder="1" applyAlignment="1">
      <alignment horizontal="left" vertical="top" wrapText="1" indent="1"/>
    </xf>
    <xf numFmtId="0" fontId="21" fillId="0" borderId="80" xfId="0" applyFont="1" applyBorder="1" applyAlignment="1">
      <alignment horizontal="center" vertical="top" wrapText="1"/>
    </xf>
    <xf numFmtId="1" fontId="23" fillId="0" borderId="81" xfId="0" applyNumberFormat="1" applyFont="1" applyBorder="1" applyAlignment="1">
      <alignment horizontal="center" vertical="top" shrinkToFit="1"/>
    </xf>
    <xf numFmtId="0" fontId="24" fillId="0" borderId="82" xfId="0" applyFont="1" applyBorder="1" applyAlignment="1">
      <alignment horizontal="center" vertical="top" wrapText="1"/>
    </xf>
    <xf numFmtId="0" fontId="21" fillId="0" borderId="82" xfId="0" applyFont="1" applyBorder="1" applyAlignment="1">
      <alignment horizontal="left" vertical="top" wrapText="1"/>
    </xf>
    <xf numFmtId="1" fontId="23" fillId="0" borderId="82" xfId="0" applyNumberFormat="1" applyFont="1" applyBorder="1" applyAlignment="1">
      <alignment horizontal="center" vertical="top" shrinkToFit="1"/>
    </xf>
    <xf numFmtId="2" fontId="23" fillId="0" borderId="83" xfId="0" applyNumberFormat="1" applyFont="1" applyBorder="1" applyAlignment="1">
      <alignment horizontal="right" vertical="top" shrinkToFit="1"/>
    </xf>
    <xf numFmtId="1" fontId="23" fillId="0" borderId="84" xfId="0" applyNumberFormat="1" applyFont="1" applyBorder="1" applyAlignment="1">
      <alignment horizontal="center" vertical="top" shrinkToFit="1"/>
    </xf>
    <xf numFmtId="0" fontId="24" fillId="0" borderId="85" xfId="0" applyFont="1" applyBorder="1" applyAlignment="1">
      <alignment horizontal="center" vertical="top" wrapText="1"/>
    </xf>
    <xf numFmtId="0" fontId="21" fillId="0" borderId="85" xfId="0" applyFont="1" applyBorder="1" applyAlignment="1">
      <alignment horizontal="left" vertical="top" wrapText="1"/>
    </xf>
    <xf numFmtId="1" fontId="23" fillId="0" borderId="85" xfId="0" applyNumberFormat="1" applyFont="1" applyBorder="1" applyAlignment="1">
      <alignment horizontal="center" vertical="top" shrinkToFit="1"/>
    </xf>
    <xf numFmtId="2" fontId="23" fillId="0" borderId="86" xfId="0" applyNumberFormat="1" applyFont="1" applyBorder="1" applyAlignment="1">
      <alignment horizontal="right" vertical="top" shrinkToFit="1"/>
    </xf>
    <xf numFmtId="0" fontId="24" fillId="0" borderId="85" xfId="0" applyFont="1" applyBorder="1" applyAlignment="1">
      <alignment horizontal="left" vertical="top" wrapText="1"/>
    </xf>
    <xf numFmtId="1" fontId="23" fillId="0" borderId="84" xfId="0" applyNumberFormat="1" applyFont="1" applyBorder="1" applyAlignment="1">
      <alignment horizontal="center" vertical="center" shrinkToFit="1"/>
    </xf>
    <xf numFmtId="0" fontId="24" fillId="0" borderId="85" xfId="0" applyFont="1" applyBorder="1" applyAlignment="1">
      <alignment horizontal="center" vertical="center" wrapText="1"/>
    </xf>
    <xf numFmtId="1" fontId="23" fillId="0" borderId="85" xfId="0" applyNumberFormat="1" applyFont="1" applyBorder="1" applyAlignment="1">
      <alignment horizontal="center" vertical="center" shrinkToFit="1"/>
    </xf>
    <xf numFmtId="2" fontId="23" fillId="0" borderId="86" xfId="0" applyNumberFormat="1" applyFont="1" applyBorder="1" applyAlignment="1">
      <alignment horizontal="right" vertical="center" shrinkToFit="1"/>
    </xf>
    <xf numFmtId="1" fontId="23" fillId="0" borderId="87" xfId="0" applyNumberFormat="1" applyFont="1" applyBorder="1" applyAlignment="1">
      <alignment horizontal="center" vertical="top" shrinkToFit="1"/>
    </xf>
    <xf numFmtId="0" fontId="24" fillId="0" borderId="88" xfId="0" applyFont="1" applyBorder="1" applyAlignment="1">
      <alignment horizontal="left" vertical="top" wrapText="1"/>
    </xf>
    <xf numFmtId="1" fontId="23" fillId="0" borderId="88" xfId="0" applyNumberFormat="1" applyFont="1" applyBorder="1" applyAlignment="1">
      <alignment horizontal="center" vertical="top" shrinkToFit="1"/>
    </xf>
    <xf numFmtId="0" fontId="21" fillId="0" borderId="0" xfId="0" applyFont="1" applyAlignment="1">
      <alignment horizontal="left" vertical="top"/>
    </xf>
    <xf numFmtId="0" fontId="22" fillId="0" borderId="80" xfId="0" applyFont="1" applyBorder="1" applyAlignment="1">
      <alignment horizontal="left" vertical="top" wrapText="1" indent="4"/>
    </xf>
    <xf numFmtId="0" fontId="22" fillId="0" borderId="80" xfId="0" applyFont="1" applyBorder="1" applyAlignment="1">
      <alignment horizontal="right" vertical="top" wrapText="1"/>
    </xf>
    <xf numFmtId="0" fontId="24" fillId="0" borderId="82" xfId="0" applyFont="1" applyBorder="1" applyAlignment="1">
      <alignment horizontal="left" vertical="top" wrapText="1"/>
    </xf>
    <xf numFmtId="1" fontId="23" fillId="0" borderId="82" xfId="0" applyNumberFormat="1" applyFont="1" applyBorder="1" applyAlignment="1">
      <alignment horizontal="left" vertical="top" indent="2" shrinkToFit="1"/>
    </xf>
    <xf numFmtId="1" fontId="23" fillId="0" borderId="85" xfId="0" applyNumberFormat="1" applyFont="1" applyBorder="1" applyAlignment="1">
      <alignment horizontal="left" vertical="top" indent="3" shrinkToFit="1"/>
    </xf>
    <xf numFmtId="0" fontId="22" fillId="0" borderId="80" xfId="0" applyFont="1" applyBorder="1" applyAlignment="1">
      <alignment horizontal="left" vertical="top" wrapText="1"/>
    </xf>
    <xf numFmtId="1" fontId="23" fillId="0" borderId="101" xfId="0" applyNumberFormat="1" applyFont="1" applyBorder="1" applyAlignment="1">
      <alignment horizontal="center" vertical="center" shrinkToFit="1"/>
    </xf>
    <xf numFmtId="0" fontId="21" fillId="0" borderId="104" xfId="0" applyFont="1" applyBorder="1" applyAlignment="1">
      <alignment horizontal="left" vertical="top" wrapText="1"/>
    </xf>
    <xf numFmtId="0" fontId="24" fillId="0" borderId="104" xfId="0" applyFont="1" applyBorder="1" applyAlignment="1">
      <alignment horizontal="center" vertical="center" wrapText="1"/>
    </xf>
    <xf numFmtId="1" fontId="23" fillId="0" borderId="104" xfId="0" applyNumberFormat="1" applyFont="1" applyBorder="1" applyAlignment="1">
      <alignment horizontal="center" vertical="center" shrinkToFit="1"/>
    </xf>
    <xf numFmtId="2" fontId="23" fillId="0" borderId="104" xfId="0" applyNumberFormat="1" applyFont="1" applyBorder="1" applyAlignment="1">
      <alignment horizontal="right" vertical="center" shrinkToFit="1"/>
    </xf>
    <xf numFmtId="4" fontId="23" fillId="0" borderId="105" xfId="0" applyNumberFormat="1" applyFont="1" applyBorder="1" applyAlignment="1">
      <alignment horizontal="right" vertical="center" shrinkToFit="1"/>
    </xf>
    <xf numFmtId="1" fontId="23" fillId="0" borderId="101" xfId="0" applyNumberFormat="1" applyFont="1" applyBorder="1" applyAlignment="1">
      <alignment horizontal="center" vertical="top" shrinkToFit="1"/>
    </xf>
    <xf numFmtId="0" fontId="24" fillId="0" borderId="104" xfId="0" applyFont="1" applyBorder="1" applyAlignment="1">
      <alignment horizontal="left" vertical="top" wrapText="1"/>
    </xf>
    <xf numFmtId="0" fontId="24" fillId="0" borderId="104" xfId="0" applyFont="1" applyBorder="1" applyAlignment="1">
      <alignment horizontal="center" vertical="top" wrapText="1"/>
    </xf>
    <xf numFmtId="1" fontId="23" fillId="0" borderId="104" xfId="0" applyNumberFormat="1" applyFont="1" applyBorder="1" applyAlignment="1">
      <alignment horizontal="center" vertical="top" shrinkToFit="1"/>
    </xf>
    <xf numFmtId="2" fontId="23" fillId="0" borderId="104" xfId="0" applyNumberFormat="1" applyFont="1" applyBorder="1" applyAlignment="1">
      <alignment horizontal="right" vertical="top" shrinkToFit="1"/>
    </xf>
    <xf numFmtId="1" fontId="23" fillId="0" borderId="80" xfId="0" applyNumberFormat="1" applyFont="1" applyBorder="1" applyAlignment="1">
      <alignment horizontal="center" vertical="top" shrinkToFit="1"/>
    </xf>
    <xf numFmtId="0" fontId="24" fillId="0" borderId="80" xfId="0" applyFont="1" applyBorder="1" applyAlignment="1">
      <alignment horizontal="left" vertical="top" wrapText="1"/>
    </xf>
    <xf numFmtId="0" fontId="24" fillId="0" borderId="80" xfId="0" applyFont="1" applyBorder="1" applyAlignment="1">
      <alignment horizontal="center" vertical="top" wrapText="1"/>
    </xf>
    <xf numFmtId="0" fontId="24" fillId="0" borderId="105" xfId="0" applyFont="1" applyBorder="1" applyAlignment="1">
      <alignment horizontal="left" vertical="top" wrapText="1"/>
    </xf>
    <xf numFmtId="0" fontId="22" fillId="0" borderId="80" xfId="0" applyFont="1" applyBorder="1" applyAlignment="1">
      <alignment horizontal="left" vertical="top" wrapText="1" indent="1"/>
    </xf>
    <xf numFmtId="0" fontId="22" fillId="0" borderId="80" xfId="0" applyFont="1" applyBorder="1" applyAlignment="1">
      <alignment horizontal="left" vertical="top" wrapText="1" indent="2"/>
    </xf>
    <xf numFmtId="177" fontId="23" fillId="0" borderId="104" xfId="0" applyNumberFormat="1" applyFont="1" applyBorder="1" applyAlignment="1">
      <alignment horizontal="center" vertical="top" shrinkToFit="1"/>
    </xf>
    <xf numFmtId="0" fontId="24" fillId="0" borderId="104" xfId="0" applyFont="1" applyBorder="1" applyAlignment="1">
      <alignment horizontal="right" vertical="top" wrapText="1"/>
    </xf>
    <xf numFmtId="0" fontId="24" fillId="0" borderId="104" xfId="0" applyFont="1" applyBorder="1" applyAlignment="1">
      <alignment horizontal="right" vertical="top" wrapText="1" indent="1"/>
    </xf>
    <xf numFmtId="0" fontId="24" fillId="0" borderId="104" xfId="0" applyFont="1" applyBorder="1" applyAlignment="1">
      <alignment horizontal="right" vertical="center" wrapText="1"/>
    </xf>
    <xf numFmtId="0" fontId="22" fillId="0" borderId="107" xfId="0" applyFont="1" applyBorder="1" applyAlignment="1">
      <alignment horizontal="center" vertical="top" wrapText="1"/>
    </xf>
    <xf numFmtId="0" fontId="21" fillId="0" borderId="107" xfId="0" applyFont="1" applyBorder="1" applyAlignment="1">
      <alignment horizontal="left" vertical="top" wrapText="1" indent="1"/>
    </xf>
    <xf numFmtId="0" fontId="21" fillId="0" borderId="107" xfId="0" applyFont="1" applyBorder="1" applyAlignment="1">
      <alignment horizontal="center" vertical="top" wrapText="1"/>
    </xf>
    <xf numFmtId="165" fontId="6" fillId="0" borderId="107" xfId="1" applyBorder="1"/>
    <xf numFmtId="165" fontId="6" fillId="0" borderId="80" xfId="1" applyBorder="1"/>
    <xf numFmtId="165" fontId="6" fillId="0" borderId="82" xfId="1" applyBorder="1"/>
    <xf numFmtId="165" fontId="6" fillId="0" borderId="85" xfId="1" applyBorder="1"/>
    <xf numFmtId="0" fontId="21" fillId="0" borderId="0" xfId="0" applyFont="1" applyAlignment="1">
      <alignment vertical="top" wrapText="1"/>
    </xf>
    <xf numFmtId="0" fontId="21" fillId="0" borderId="0" xfId="0" applyFont="1" applyFill="1" applyAlignment="1">
      <alignment horizontal="left" vertical="top"/>
    </xf>
    <xf numFmtId="165" fontId="6" fillId="0" borderId="0" xfId="1" applyFill="1"/>
    <xf numFmtId="1" fontId="23" fillId="0" borderId="108" xfId="0" applyNumberFormat="1" applyFont="1" applyBorder="1" applyAlignment="1">
      <alignment horizontal="center" vertical="center" shrinkToFit="1"/>
    </xf>
    <xf numFmtId="0" fontId="24" fillId="0" borderId="109" xfId="0" applyFont="1" applyBorder="1" applyAlignment="1">
      <alignment horizontal="center" vertical="center" wrapText="1"/>
    </xf>
    <xf numFmtId="0" fontId="24" fillId="0" borderId="109" xfId="0" applyFont="1" applyBorder="1" applyAlignment="1">
      <alignment horizontal="left" vertical="top" wrapText="1"/>
    </xf>
    <xf numFmtId="1" fontId="23" fillId="0" borderId="109" xfId="0" applyNumberFormat="1" applyFont="1" applyBorder="1" applyAlignment="1">
      <alignment horizontal="center" vertical="center" shrinkToFit="1"/>
    </xf>
    <xf numFmtId="2" fontId="23" fillId="0" borderId="110" xfId="0" applyNumberFormat="1" applyFont="1" applyBorder="1" applyAlignment="1">
      <alignment horizontal="right" vertical="center" shrinkToFit="1"/>
    </xf>
    <xf numFmtId="165" fontId="6" fillId="0" borderId="111" xfId="1" applyBorder="1"/>
    <xf numFmtId="1" fontId="23" fillId="0" borderId="47" xfId="0" applyNumberFormat="1" applyFont="1" applyBorder="1" applyAlignment="1">
      <alignment horizontal="center" vertical="top" shrinkToFit="1"/>
    </xf>
    <xf numFmtId="0" fontId="24" fillId="0" borderId="47" xfId="0" applyFont="1" applyBorder="1" applyAlignment="1">
      <alignment vertical="top" wrapText="1"/>
    </xf>
    <xf numFmtId="0" fontId="24" fillId="0" borderId="47" xfId="0" applyFont="1" applyBorder="1" applyAlignment="1">
      <alignment horizontal="left" vertical="top" wrapText="1"/>
    </xf>
    <xf numFmtId="0" fontId="24" fillId="0" borderId="47" xfId="0" applyFont="1" applyBorder="1" applyAlignment="1">
      <alignment horizontal="left" vertical="top" wrapText="1" indent="1"/>
    </xf>
    <xf numFmtId="2" fontId="23" fillId="0" borderId="47" xfId="0" applyNumberFormat="1" applyFont="1" applyBorder="1" applyAlignment="1">
      <alignment horizontal="right" vertical="center" shrinkToFit="1"/>
    </xf>
    <xf numFmtId="43" fontId="21" fillId="0" borderId="47" xfId="0" applyNumberFormat="1" applyFont="1" applyBorder="1" applyAlignment="1">
      <alignment vertical="top" wrapText="1"/>
    </xf>
    <xf numFmtId="4" fontId="25" fillId="0" borderId="111" xfId="0" applyNumberFormat="1" applyFont="1" applyBorder="1" applyAlignment="1">
      <alignment horizontal="right" vertical="top" shrinkToFit="1"/>
    </xf>
    <xf numFmtId="0" fontId="24" fillId="0" borderId="0" xfId="0" applyFont="1" applyBorder="1" applyAlignment="1">
      <alignment horizontal="center" vertical="top" wrapText="1"/>
    </xf>
    <xf numFmtId="0" fontId="21" fillId="0" borderId="0" xfId="0" applyFont="1" applyBorder="1" applyAlignment="1">
      <alignment horizontal="center" vertical="top" wrapText="1"/>
    </xf>
    <xf numFmtId="43" fontId="21" fillId="8" borderId="47" xfId="0" applyNumberFormat="1" applyFont="1" applyFill="1" applyBorder="1" applyAlignment="1">
      <alignment vertical="top" wrapText="1"/>
    </xf>
    <xf numFmtId="0" fontId="21" fillId="0" borderId="47" xfId="0" applyFont="1" applyBorder="1" applyAlignment="1">
      <alignment vertical="top" wrapText="1"/>
    </xf>
    <xf numFmtId="0" fontId="22" fillId="0" borderId="0" xfId="0" applyFont="1" applyAlignment="1">
      <alignment vertical="top" wrapText="1"/>
    </xf>
    <xf numFmtId="0" fontId="24" fillId="0" borderId="82" xfId="0" applyFont="1" applyBorder="1" applyAlignment="1">
      <alignment horizontal="left" vertical="top" wrapText="1" indent="2"/>
    </xf>
    <xf numFmtId="0" fontId="24" fillId="0" borderId="85" xfId="0" applyFont="1" applyBorder="1" applyAlignment="1">
      <alignment horizontal="left" vertical="top" wrapText="1" indent="2"/>
    </xf>
    <xf numFmtId="0" fontId="24" fillId="0" borderId="85" xfId="0" applyFont="1" applyBorder="1" applyAlignment="1">
      <alignment horizontal="left" vertical="center" wrapText="1" indent="2"/>
    </xf>
    <xf numFmtId="0" fontId="24" fillId="0" borderId="88" xfId="0" applyFont="1" applyBorder="1" applyAlignment="1">
      <alignment horizontal="left" vertical="top" wrapText="1" indent="2"/>
    </xf>
    <xf numFmtId="0" fontId="21" fillId="0" borderId="95" xfId="0" applyFont="1" applyBorder="1" applyAlignment="1">
      <alignment horizontal="right" vertical="top" wrapText="1" indent="2"/>
    </xf>
    <xf numFmtId="2" fontId="23" fillId="0" borderId="97" xfId="0" applyNumberFormat="1" applyFont="1" applyBorder="1" applyAlignment="1">
      <alignment horizontal="right" vertical="top" shrinkToFit="1"/>
    </xf>
    <xf numFmtId="2" fontId="23" fillId="0" borderId="99" xfId="0" applyNumberFormat="1" applyFont="1" applyBorder="1" applyAlignment="1">
      <alignment horizontal="right" vertical="top" shrinkToFit="1"/>
    </xf>
    <xf numFmtId="2" fontId="23" fillId="0" borderId="99" xfId="0" applyNumberFormat="1" applyFont="1" applyBorder="1" applyAlignment="1">
      <alignment horizontal="right" vertical="center" shrinkToFit="1"/>
    </xf>
    <xf numFmtId="2" fontId="23" fillId="0" borderId="93" xfId="0" applyNumberFormat="1" applyFont="1" applyBorder="1" applyAlignment="1">
      <alignment horizontal="right" vertical="top" shrinkToFit="1"/>
    </xf>
    <xf numFmtId="165" fontId="21" fillId="0" borderId="0" xfId="1" applyFont="1" applyFill="1"/>
    <xf numFmtId="0" fontId="21" fillId="0" borderId="0" xfId="0" applyFont="1" applyFill="1"/>
    <xf numFmtId="0" fontId="22" fillId="0" borderId="114" xfId="0" applyFont="1" applyBorder="1" applyAlignment="1">
      <alignment vertical="top" wrapText="1"/>
    </xf>
    <xf numFmtId="0" fontId="22" fillId="0" borderId="90" xfId="0" applyFont="1" applyBorder="1" applyAlignment="1">
      <alignment vertical="top" wrapText="1"/>
    </xf>
    <xf numFmtId="0" fontId="21" fillId="0" borderId="95" xfId="0" applyFont="1" applyBorder="1" applyAlignment="1">
      <alignment horizontal="left" vertical="top" wrapText="1" indent="1"/>
    </xf>
    <xf numFmtId="1" fontId="23" fillId="0" borderId="102" xfId="0" applyNumberFormat="1" applyFont="1" applyBorder="1" applyAlignment="1">
      <alignment horizontal="center" vertical="center" shrinkToFit="1"/>
    </xf>
    <xf numFmtId="1" fontId="23" fillId="0" borderId="102" xfId="0" applyNumberFormat="1" applyFont="1" applyBorder="1" applyAlignment="1">
      <alignment horizontal="center" vertical="top" shrinkToFit="1"/>
    </xf>
    <xf numFmtId="1" fontId="23" fillId="0" borderId="95" xfId="0" applyNumberFormat="1" applyFont="1" applyBorder="1" applyAlignment="1">
      <alignment horizontal="center" vertical="top" shrinkToFit="1"/>
    </xf>
    <xf numFmtId="165" fontId="10" fillId="0" borderId="47" xfId="1" applyFont="1" applyBorder="1" applyAlignment="1">
      <alignment vertical="center"/>
    </xf>
    <xf numFmtId="43" fontId="21" fillId="0" borderId="47" xfId="0" applyNumberFormat="1" applyFont="1" applyBorder="1" applyAlignment="1">
      <alignment horizontal="left" vertical="top"/>
    </xf>
    <xf numFmtId="0" fontId="15" fillId="0" borderId="47" xfId="0" applyFont="1" applyBorder="1" applyAlignment="1">
      <alignment horizontal="left" vertical="top"/>
    </xf>
    <xf numFmtId="1" fontId="23" fillId="0" borderId="108" xfId="0" applyNumberFormat="1" applyFont="1" applyBorder="1" applyAlignment="1">
      <alignment horizontal="center" vertical="top" shrinkToFit="1"/>
    </xf>
    <xf numFmtId="0" fontId="24" fillId="0" borderId="109" xfId="0" applyFont="1" applyBorder="1" applyAlignment="1">
      <alignment horizontal="center" vertical="top" wrapText="1"/>
    </xf>
    <xf numFmtId="1" fontId="23" fillId="0" borderId="109" xfId="0" applyNumberFormat="1" applyFont="1" applyBorder="1" applyAlignment="1">
      <alignment horizontal="left" vertical="top" indent="3" shrinkToFit="1"/>
    </xf>
    <xf numFmtId="165" fontId="6" fillId="0" borderId="109" xfId="1" applyBorder="1"/>
    <xf numFmtId="43" fontId="21" fillId="0" borderId="54" xfId="0" applyNumberFormat="1" applyFont="1" applyBorder="1" applyAlignment="1">
      <alignment horizontal="left" vertical="top"/>
    </xf>
    <xf numFmtId="4" fontId="21" fillId="0" borderId="0" xfId="0" applyNumberFormat="1" applyFont="1"/>
    <xf numFmtId="165" fontId="21" fillId="0" borderId="0" xfId="0" applyNumberFormat="1" applyFont="1"/>
    <xf numFmtId="43" fontId="21" fillId="0" borderId="0" xfId="0" applyNumberFormat="1" applyFont="1"/>
    <xf numFmtId="2" fontId="0" fillId="0" borderId="1" xfId="0" applyNumberFormat="1" applyBorder="1" applyAlignment="1">
      <alignment horizontal="left"/>
    </xf>
    <xf numFmtId="2" fontId="0" fillId="0" borderId="1" xfId="0" applyNumberFormat="1" applyFont="1" applyFill="1" applyBorder="1"/>
    <xf numFmtId="165" fontId="6" fillId="0" borderId="0" xfId="1"/>
    <xf numFmtId="0" fontId="0" fillId="0" borderId="47" xfId="0" applyBorder="1" applyAlignment="1">
      <alignment horizontal="center"/>
    </xf>
    <xf numFmtId="0" fontId="0" fillId="0" borderId="47" xfId="0" applyBorder="1" applyAlignment="1">
      <alignment horizontal="center" vertical="center"/>
    </xf>
    <xf numFmtId="165" fontId="6" fillId="0" borderId="47" xfId="1" applyBorder="1" applyAlignment="1">
      <alignment horizontal="center"/>
    </xf>
    <xf numFmtId="165" fontId="6" fillId="0" borderId="47" xfId="1" applyBorder="1"/>
    <xf numFmtId="165" fontId="6" fillId="0" borderId="0" xfId="1"/>
    <xf numFmtId="0" fontId="21" fillId="0" borderId="47" xfId="0" applyFont="1" applyBorder="1" applyAlignment="1">
      <alignment horizontal="center"/>
    </xf>
    <xf numFmtId="0" fontId="0" fillId="0" borderId="1" xfId="0" applyFont="1" applyBorder="1" applyAlignment="1">
      <alignment horizontal="center"/>
    </xf>
    <xf numFmtId="0" fontId="0" fillId="0" borderId="23" xfId="0" applyFont="1" applyBorder="1" applyAlignment="1">
      <alignment horizontal="center"/>
    </xf>
    <xf numFmtId="0" fontId="0" fillId="0" borderId="0" xfId="0" applyFont="1" applyBorder="1" applyAlignment="1">
      <alignment horizontal="center"/>
    </xf>
    <xf numFmtId="0" fontId="2" fillId="0" borderId="8" xfId="0" applyFont="1" applyBorder="1" applyAlignment="1">
      <alignment horizontal="center"/>
    </xf>
    <xf numFmtId="0" fontId="2" fillId="0" borderId="8" xfId="0" applyFont="1" applyBorder="1" applyAlignment="1">
      <alignment horizontal="center" wrapText="1"/>
    </xf>
    <xf numFmtId="0" fontId="2" fillId="0" borderId="1" xfId="0" applyFont="1" applyBorder="1" applyAlignment="1">
      <alignment horizontal="center"/>
    </xf>
    <xf numFmtId="0" fontId="0" fillId="0" borderId="0" xfId="0" applyFont="1" applyBorder="1" applyAlignment="1">
      <alignment horizontal="left"/>
    </xf>
    <xf numFmtId="0" fontId="1" fillId="0" borderId="0" xfId="0" applyFont="1" applyBorder="1" applyAlignment="1">
      <alignment horizontal="center" vertical="center"/>
    </xf>
    <xf numFmtId="0" fontId="1" fillId="0" borderId="0" xfId="0" applyFont="1" applyBorder="1" applyAlignment="1">
      <alignment horizontal="center"/>
    </xf>
    <xf numFmtId="165" fontId="6" fillId="0" borderId="47" xfId="1" applyBorder="1"/>
    <xf numFmtId="165" fontId="6" fillId="0" borderId="0" xfId="1"/>
    <xf numFmtId="165" fontId="6" fillId="0" borderId="47" xfId="1" applyBorder="1" applyAlignment="1">
      <alignment horizontal="center"/>
    </xf>
    <xf numFmtId="0" fontId="21" fillId="0" borderId="47" xfId="0" applyFont="1" applyBorder="1" applyAlignment="1">
      <alignment horizontal="center"/>
    </xf>
    <xf numFmtId="0" fontId="22" fillId="0" borderId="111" xfId="0" applyFont="1" applyBorder="1" applyAlignment="1">
      <alignment horizontal="center" vertical="top" wrapText="1"/>
    </xf>
    <xf numFmtId="0" fontId="22" fillId="0" borderId="111" xfId="0" applyFont="1" applyBorder="1" applyAlignment="1">
      <alignment horizontal="left" vertical="top" wrapText="1" indent="1"/>
    </xf>
    <xf numFmtId="0" fontId="22" fillId="0" borderId="111" xfId="0" applyFont="1" applyBorder="1" applyAlignment="1">
      <alignment horizontal="left" vertical="top" wrapText="1" indent="4"/>
    </xf>
    <xf numFmtId="0" fontId="21" fillId="0" borderId="111" xfId="0" applyFont="1" applyBorder="1" applyAlignment="1">
      <alignment horizontal="center" vertical="top" wrapText="1"/>
    </xf>
    <xf numFmtId="0" fontId="22" fillId="0" borderId="111" xfId="0" applyFont="1" applyBorder="1" applyAlignment="1">
      <alignment horizontal="right" vertical="top" wrapText="1"/>
    </xf>
    <xf numFmtId="0" fontId="21" fillId="0" borderId="47" xfId="0" applyFont="1" applyBorder="1" applyAlignment="1">
      <alignment horizontal="center" wrapText="1"/>
    </xf>
    <xf numFmtId="165" fontId="0" fillId="0" borderId="0" xfId="0" applyNumberFormat="1"/>
    <xf numFmtId="43" fontId="0" fillId="0" borderId="47" xfId="0" applyNumberFormat="1" applyBorder="1" applyAlignment="1">
      <alignment horizontal="center"/>
    </xf>
    <xf numFmtId="0" fontId="0" fillId="0" borderId="0" xfId="0" applyAlignment="1">
      <alignment horizontal="center" vertical="center"/>
    </xf>
    <xf numFmtId="0" fontId="0" fillId="0" borderId="47" xfId="0" applyFill="1" applyBorder="1" applyAlignment="1">
      <alignment horizontal="center" vertical="center"/>
    </xf>
    <xf numFmtId="0" fontId="0" fillId="0" borderId="0" xfId="0" applyBorder="1" applyAlignment="1">
      <alignment horizontal="center"/>
    </xf>
    <xf numFmtId="0" fontId="21" fillId="6" borderId="104" xfId="0" applyFont="1" applyFill="1" applyBorder="1" applyAlignment="1">
      <alignment horizontal="left" vertical="top" wrapText="1"/>
    </xf>
    <xf numFmtId="0" fontId="24" fillId="6" borderId="104" xfId="0" applyFont="1" applyFill="1" applyBorder="1" applyAlignment="1">
      <alignment horizontal="left" vertical="top" wrapText="1"/>
    </xf>
    <xf numFmtId="0" fontId="28" fillId="6" borderId="104" xfId="0" applyFont="1" applyFill="1" applyBorder="1" applyAlignment="1">
      <alignment horizontal="left" vertical="top" wrapText="1"/>
    </xf>
    <xf numFmtId="0" fontId="29" fillId="6" borderId="104" xfId="0" applyFont="1" applyFill="1" applyBorder="1" applyAlignment="1">
      <alignment horizontal="left" vertical="top" wrapText="1"/>
    </xf>
    <xf numFmtId="0" fontId="10" fillId="0" borderId="0" xfId="0" applyFont="1" applyAlignment="1">
      <alignment horizontal="center"/>
    </xf>
    <xf numFmtId="165" fontId="10" fillId="0" borderId="0" xfId="1" applyFont="1"/>
    <xf numFmtId="0" fontId="0" fillId="0" borderId="1" xfId="0" applyFont="1" applyBorder="1" applyAlignment="1">
      <alignment horizontal="center"/>
    </xf>
    <xf numFmtId="0" fontId="2" fillId="0" borderId="22" xfId="0" applyFont="1" applyBorder="1" applyAlignment="1">
      <alignment horizontal="left"/>
    </xf>
    <xf numFmtId="0" fontId="0" fillId="0" borderId="25" xfId="0" applyFont="1" applyBorder="1" applyAlignment="1">
      <alignment horizontal="left"/>
    </xf>
    <xf numFmtId="0" fontId="0" fillId="0" borderId="1" xfId="0" applyFont="1" applyBorder="1" applyAlignment="1">
      <alignment horizontal="left"/>
    </xf>
    <xf numFmtId="0" fontId="0" fillId="0" borderId="29" xfId="0" applyFont="1" applyBorder="1" applyAlignment="1">
      <alignment horizontal="left"/>
    </xf>
    <xf numFmtId="0" fontId="0" fillId="0" borderId="23" xfId="0" applyFont="1" applyBorder="1" applyAlignment="1">
      <alignment horizontal="center"/>
    </xf>
    <xf numFmtId="0" fontId="2" fillId="0" borderId="17" xfId="0" applyFont="1" applyBorder="1" applyAlignment="1">
      <alignment horizontal="center"/>
    </xf>
    <xf numFmtId="0" fontId="0" fillId="0" borderId="18" xfId="0" applyFont="1" applyBorder="1" applyAlignment="1">
      <alignment horizontal="center"/>
    </xf>
    <xf numFmtId="0" fontId="2" fillId="0" borderId="21" xfId="0" applyFont="1" applyBorder="1" applyAlignment="1">
      <alignment horizontal="center"/>
    </xf>
    <xf numFmtId="0" fontId="0" fillId="0" borderId="0" xfId="0" applyFont="1" applyBorder="1" applyAlignment="1">
      <alignment horizontal="center"/>
    </xf>
    <xf numFmtId="0" fontId="2" fillId="0" borderId="8" xfId="0" applyFont="1" applyBorder="1" applyAlignment="1">
      <alignment horizontal="center"/>
    </xf>
    <xf numFmtId="0" fontId="0" fillId="0" borderId="4" xfId="0" applyFont="1" applyBorder="1" applyAlignment="1">
      <alignment horizontal="center"/>
    </xf>
    <xf numFmtId="0" fontId="0" fillId="0" borderId="12" xfId="0" applyFont="1" applyBorder="1" applyAlignment="1">
      <alignment horizontal="left"/>
    </xf>
    <xf numFmtId="0" fontId="0" fillId="0" borderId="15"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wrapText="1"/>
    </xf>
    <xf numFmtId="0" fontId="0" fillId="0" borderId="10" xfId="0" applyFont="1" applyBorder="1" applyAlignment="1">
      <alignment horizontal="center"/>
    </xf>
    <xf numFmtId="0" fontId="0" fillId="0" borderId="11" xfId="0" applyFont="1" applyBorder="1" applyAlignment="1">
      <alignment horizontal="left"/>
    </xf>
    <xf numFmtId="0" fontId="0" fillId="0" borderId="12" xfId="0" applyFont="1" applyBorder="1" applyAlignment="1">
      <alignment horizontal="center"/>
    </xf>
    <xf numFmtId="0" fontId="2" fillId="0" borderId="1" xfId="0" applyFont="1" applyBorder="1" applyAlignment="1">
      <alignment horizontal="center"/>
    </xf>
    <xf numFmtId="0" fontId="0" fillId="0" borderId="0" xfId="0" applyFont="1" applyBorder="1" applyAlignment="1">
      <alignment horizontal="left"/>
    </xf>
    <xf numFmtId="0" fontId="2" fillId="4" borderId="1" xfId="0" applyFont="1" applyFill="1" applyBorder="1" applyAlignment="1">
      <alignment horizontal="center"/>
    </xf>
    <xf numFmtId="0" fontId="2" fillId="0" borderId="1" xfId="0" applyFont="1" applyBorder="1" applyAlignment="1">
      <alignment horizontal="left"/>
    </xf>
    <xf numFmtId="0" fontId="0" fillId="0" borderId="1" xfId="0" applyFont="1" applyBorder="1"/>
    <xf numFmtId="0" fontId="2" fillId="5" borderId="5" xfId="0" applyFont="1" applyFill="1" applyBorder="1" applyAlignment="1">
      <alignment horizontal="center"/>
    </xf>
    <xf numFmtId="0" fontId="2" fillId="2" borderId="1" xfId="0" applyFont="1" applyFill="1" applyBorder="1" applyAlignment="1">
      <alignment horizontal="center"/>
    </xf>
    <xf numFmtId="0" fontId="2" fillId="5" borderId="7" xfId="0" applyFont="1" applyFill="1" applyBorder="1" applyAlignment="1">
      <alignment horizontal="center"/>
    </xf>
    <xf numFmtId="0" fontId="0" fillId="0" borderId="4" xfId="0" applyFont="1" applyBorder="1" applyAlignment="1">
      <alignment horizontal="left"/>
    </xf>
    <xf numFmtId="0" fontId="0" fillId="0" borderId="2" xfId="0" applyFont="1" applyBorder="1" applyAlignment="1">
      <alignment horizontal="left"/>
    </xf>
    <xf numFmtId="0" fontId="0" fillId="0" borderId="30" xfId="0" applyFont="1" applyBorder="1" applyAlignment="1">
      <alignment horizontal="left"/>
    </xf>
    <xf numFmtId="0" fontId="2" fillId="5" borderId="6" xfId="0" applyFont="1" applyFill="1" applyBorder="1" applyAlignment="1">
      <alignment horizontal="center"/>
    </xf>
    <xf numFmtId="0" fontId="2" fillId="0" borderId="4" xfId="0" applyFont="1" applyBorder="1" applyAlignment="1">
      <alignment horizontal="center"/>
    </xf>
    <xf numFmtId="0" fontId="2" fillId="5" borderId="4" xfId="0" applyFont="1" applyFill="1" applyBorder="1" applyAlignment="1">
      <alignment horizontal="center"/>
    </xf>
    <xf numFmtId="0" fontId="2" fillId="5" borderId="3" xfId="0" applyFont="1" applyFill="1" applyBorder="1" applyAlignment="1">
      <alignment horizontal="center"/>
    </xf>
    <xf numFmtId="0" fontId="4" fillId="0" borderId="0" xfId="0" applyFont="1" applyAlignment="1">
      <alignment horizontal="center" vertical="center" wrapText="1"/>
    </xf>
    <xf numFmtId="0" fontId="0" fillId="0" borderId="2" xfId="0" applyBorder="1" applyAlignment="1">
      <alignment horizontal="center"/>
    </xf>
    <xf numFmtId="0" fontId="1" fillId="0" borderId="0" xfId="0" applyFont="1" applyBorder="1" applyAlignment="1">
      <alignment horizontal="left" vertical="center"/>
    </xf>
    <xf numFmtId="0" fontId="1" fillId="0" borderId="0" xfId="0" applyFont="1" applyBorder="1" applyAlignment="1">
      <alignment horizontal="center" vertical="center" wrapText="1"/>
    </xf>
    <xf numFmtId="0" fontId="1" fillId="0" borderId="0" xfId="0" applyFont="1" applyBorder="1" applyAlignment="1">
      <alignment horizontal="left"/>
    </xf>
    <xf numFmtId="164" fontId="1" fillId="0" borderId="0" xfId="0" applyNumberFormat="1" applyFont="1" applyBorder="1" applyAlignment="1">
      <alignment horizontal="center"/>
    </xf>
    <xf numFmtId="0" fontId="1" fillId="0" borderId="0" xfId="0" applyFont="1" applyBorder="1" applyAlignment="1">
      <alignment horizontal="center" vertical="center"/>
    </xf>
    <xf numFmtId="0" fontId="0" fillId="3" borderId="1" xfId="0" applyFont="1" applyFill="1" applyBorder="1" applyAlignment="1">
      <alignment horizontal="center" wrapText="1"/>
    </xf>
    <xf numFmtId="0" fontId="0" fillId="0" borderId="1" xfId="0" applyBorder="1" applyAlignment="1">
      <alignment horizontal="center"/>
    </xf>
    <xf numFmtId="4" fontId="1" fillId="0" borderId="0" xfId="1" applyNumberFormat="1" applyFont="1" applyBorder="1" applyAlignment="1" applyProtection="1">
      <alignment horizontal="center"/>
    </xf>
    <xf numFmtId="0" fontId="1" fillId="0" borderId="0" xfId="0" applyFont="1" applyBorder="1" applyAlignment="1">
      <alignment horizontal="center"/>
    </xf>
    <xf numFmtId="0" fontId="3" fillId="0" borderId="0" xfId="0" applyFont="1" applyBorder="1" applyAlignment="1">
      <alignment horizontal="center"/>
    </xf>
    <xf numFmtId="0" fontId="1" fillId="0" borderId="0" xfId="0" applyFont="1" applyBorder="1" applyAlignment="1">
      <alignment horizontal="center" wrapText="1"/>
    </xf>
    <xf numFmtId="0" fontId="14" fillId="15" borderId="74" xfId="0" applyFont="1" applyFill="1" applyBorder="1" applyAlignment="1">
      <alignment horizontal="center"/>
    </xf>
    <xf numFmtId="0" fontId="14" fillId="15" borderId="75" xfId="0" applyFont="1" applyFill="1" applyBorder="1" applyAlignment="1">
      <alignment horizontal="center"/>
    </xf>
    <xf numFmtId="0" fontId="13" fillId="14" borderId="70" xfId="0" applyFont="1" applyFill="1" applyBorder="1" applyAlignment="1">
      <alignment horizontal="center"/>
    </xf>
    <xf numFmtId="0" fontId="13" fillId="14" borderId="71" xfId="0" applyFont="1" applyFill="1" applyBorder="1" applyAlignment="1">
      <alignment horizontal="center"/>
    </xf>
    <xf numFmtId="0" fontId="13" fillId="14" borderId="72" xfId="0" applyFont="1" applyFill="1" applyBorder="1" applyAlignment="1">
      <alignment horizontal="center"/>
    </xf>
    <xf numFmtId="0" fontId="13" fillId="14" borderId="74" xfId="0" applyFont="1" applyFill="1" applyBorder="1" applyAlignment="1">
      <alignment horizontal="center"/>
    </xf>
    <xf numFmtId="0" fontId="13" fillId="14" borderId="76" xfId="0" applyFont="1" applyFill="1" applyBorder="1" applyAlignment="1">
      <alignment horizontal="center"/>
    </xf>
    <xf numFmtId="175" fontId="14" fillId="15" borderId="78" xfId="0" applyNumberFormat="1" applyFont="1" applyFill="1" applyBorder="1" applyAlignment="1">
      <alignment horizontal="center"/>
    </xf>
    <xf numFmtId="175" fontId="14" fillId="15" borderId="79" xfId="0" applyNumberFormat="1" applyFont="1" applyFill="1" applyBorder="1" applyAlignment="1">
      <alignment horizontal="center"/>
    </xf>
    <xf numFmtId="175" fontId="13" fillId="15" borderId="63" xfId="4" applyNumberFormat="1" applyFont="1" applyFill="1" applyBorder="1" applyAlignment="1">
      <alignment horizontal="center"/>
    </xf>
    <xf numFmtId="175" fontId="13" fillId="15" borderId="66" xfId="4" applyNumberFormat="1" applyFont="1" applyFill="1" applyBorder="1" applyAlignment="1">
      <alignment horizontal="center"/>
    </xf>
    <xf numFmtId="175" fontId="14" fillId="15" borderId="75" xfId="0" applyNumberFormat="1" applyFont="1" applyFill="1" applyBorder="1" applyAlignment="1">
      <alignment horizontal="center"/>
    </xf>
    <xf numFmtId="172" fontId="8" fillId="12" borderId="43" xfId="5" applyNumberFormat="1" applyFont="1" applyFill="1" applyBorder="1" applyAlignment="1">
      <alignment horizontal="right"/>
    </xf>
    <xf numFmtId="172" fontId="8" fillId="12" borderId="44" xfId="5" applyNumberFormat="1" applyFont="1" applyFill="1" applyBorder="1" applyAlignment="1">
      <alignment horizontal="right"/>
    </xf>
    <xf numFmtId="172" fontId="8" fillId="12" borderId="45" xfId="5" applyNumberFormat="1" applyFont="1" applyFill="1" applyBorder="1" applyAlignment="1">
      <alignment horizontal="right"/>
    </xf>
    <xf numFmtId="0" fontId="2" fillId="11" borderId="34" xfId="5" applyFont="1" applyFill="1" applyBorder="1" applyAlignment="1" applyProtection="1">
      <alignment horizontal="center"/>
      <protection locked="0"/>
    </xf>
    <xf numFmtId="0" fontId="0" fillId="0" borderId="47" xfId="0" applyBorder="1" applyAlignment="1">
      <alignment horizontal="left"/>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xf>
    <xf numFmtId="0" fontId="2" fillId="2" borderId="47" xfId="0" applyFont="1" applyFill="1" applyBorder="1" applyAlignment="1">
      <alignment horizontal="center"/>
    </xf>
    <xf numFmtId="0" fontId="3" fillId="0" borderId="0" xfId="0" applyFont="1" applyAlignment="1">
      <alignment horizontal="center"/>
    </xf>
    <xf numFmtId="0" fontId="1" fillId="0" borderId="0" xfId="0" applyFont="1" applyAlignment="1">
      <alignment horizontal="center" wrapText="1"/>
    </xf>
    <xf numFmtId="0" fontId="0" fillId="3" borderId="47" xfId="0" applyFill="1" applyBorder="1" applyAlignment="1">
      <alignment horizontal="center" wrapText="1"/>
    </xf>
    <xf numFmtId="0" fontId="0" fillId="0" borderId="47" xfId="0" applyBorder="1" applyAlignment="1">
      <alignment horizontal="center"/>
    </xf>
    <xf numFmtId="0" fontId="1" fillId="0" borderId="0" xfId="0" applyFont="1" applyAlignment="1">
      <alignment horizontal="left"/>
    </xf>
    <xf numFmtId="0" fontId="1" fillId="0" borderId="0" xfId="0" applyFont="1" applyAlignment="1">
      <alignment horizontal="left" vertical="center"/>
    </xf>
    <xf numFmtId="0" fontId="0" fillId="0" borderId="56" xfId="0" applyBorder="1" applyAlignment="1">
      <alignment horizontal="center"/>
    </xf>
    <xf numFmtId="0" fontId="2" fillId="0" borderId="47" xfId="0" applyFont="1" applyBorder="1" applyAlignment="1">
      <alignment horizontal="center"/>
    </xf>
    <xf numFmtId="164" fontId="1" fillId="0" borderId="0" xfId="0" applyNumberFormat="1" applyFont="1" applyAlignment="1">
      <alignment horizontal="center"/>
    </xf>
    <xf numFmtId="0" fontId="0" fillId="0" borderId="47" xfId="0" applyBorder="1"/>
    <xf numFmtId="0" fontId="0" fillId="0" borderId="57" xfId="0" applyBorder="1" applyAlignment="1">
      <alignment horizontal="left"/>
    </xf>
    <xf numFmtId="0" fontId="0" fillId="0" borderId="56" xfId="0" applyBorder="1" applyAlignment="1">
      <alignment horizontal="left"/>
    </xf>
    <xf numFmtId="0" fontId="0" fillId="0" borderId="58" xfId="0" applyBorder="1" applyAlignment="1">
      <alignment horizontal="left"/>
    </xf>
    <xf numFmtId="0" fontId="2" fillId="5" borderId="57" xfId="0" applyFont="1" applyFill="1" applyBorder="1" applyAlignment="1">
      <alignment horizontal="center"/>
    </xf>
    <xf numFmtId="0" fontId="2" fillId="5" borderId="59" xfId="0" applyFont="1" applyFill="1" applyBorder="1" applyAlignment="1">
      <alignment horizontal="center"/>
    </xf>
    <xf numFmtId="0" fontId="2" fillId="4" borderId="47" xfId="0" applyFont="1" applyFill="1" applyBorder="1" applyAlignment="1">
      <alignment horizontal="center"/>
    </xf>
    <xf numFmtId="0" fontId="2" fillId="0" borderId="57" xfId="0" applyFont="1" applyBorder="1" applyAlignment="1">
      <alignment horizontal="center"/>
    </xf>
    <xf numFmtId="0" fontId="2" fillId="5" borderId="60" xfId="0" applyFont="1" applyFill="1" applyBorder="1" applyAlignment="1">
      <alignment horizontal="center"/>
    </xf>
    <xf numFmtId="0" fontId="0" fillId="0" borderId="0" xfId="0" applyAlignment="1">
      <alignment horizontal="left"/>
    </xf>
    <xf numFmtId="0" fontId="2" fillId="0" borderId="47" xfId="0" applyFont="1" applyBorder="1" applyAlignment="1">
      <alignment horizontal="left"/>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left"/>
    </xf>
    <xf numFmtId="0" fontId="0" fillId="0" borderId="12" xfId="0" applyBorder="1" applyAlignment="1">
      <alignment horizontal="center"/>
    </xf>
    <xf numFmtId="0" fontId="0" fillId="0" borderId="57" xfId="0" applyBorder="1" applyAlignment="1">
      <alignment horizontal="center"/>
    </xf>
    <xf numFmtId="0" fontId="0" fillId="0" borderId="12" xfId="0" applyBorder="1" applyAlignment="1">
      <alignment horizontal="left"/>
    </xf>
    <xf numFmtId="0" fontId="0" fillId="0" borderId="61" xfId="0" applyBorder="1" applyAlignment="1">
      <alignment horizontal="center"/>
    </xf>
    <xf numFmtId="0" fontId="2" fillId="0" borderId="60" xfId="0" applyFont="1" applyBorder="1" applyAlignment="1">
      <alignment horizontal="center"/>
    </xf>
    <xf numFmtId="0" fontId="0" fillId="0" borderId="25" xfId="0" applyBorder="1" applyAlignment="1">
      <alignment horizontal="left"/>
    </xf>
    <xf numFmtId="0" fontId="0" fillId="0" borderId="69" xfId="0" applyBorder="1" applyAlignment="1">
      <alignment horizontal="left"/>
    </xf>
    <xf numFmtId="0" fontId="0" fillId="0" borderId="23" xfId="0" applyBorder="1" applyAlignment="1">
      <alignment horizontal="center"/>
    </xf>
    <xf numFmtId="0" fontId="2" fillId="0" borderId="63" xfId="0" applyFont="1" applyBorder="1" applyAlignment="1">
      <alignment horizontal="center"/>
    </xf>
    <xf numFmtId="0" fontId="0" fillId="0" borderId="64" xfId="0" applyBorder="1" applyAlignment="1">
      <alignment horizontal="center"/>
    </xf>
    <xf numFmtId="165" fontId="6" fillId="10" borderId="4" xfId="1" applyFill="1" applyBorder="1"/>
    <xf numFmtId="165" fontId="6" fillId="10" borderId="30" xfId="1" applyFill="1" applyBorder="1"/>
    <xf numFmtId="165" fontId="6" fillId="0" borderId="32" xfId="1" applyNumberFormat="1" applyBorder="1" applyAlignment="1">
      <alignment horizontal="center" vertical="center"/>
    </xf>
    <xf numFmtId="165" fontId="6" fillId="0" borderId="33" xfId="1" applyNumberFormat="1" applyBorder="1" applyAlignment="1">
      <alignment horizontal="center" vertical="center"/>
    </xf>
    <xf numFmtId="0" fontId="0" fillId="10" borderId="1" xfId="0" applyFill="1" applyBorder="1" applyAlignment="1">
      <alignment horizontal="center"/>
    </xf>
    <xf numFmtId="0" fontId="0" fillId="10" borderId="4" xfId="0" applyFill="1" applyBorder="1" applyAlignment="1">
      <alignment horizontal="center"/>
    </xf>
    <xf numFmtId="0" fontId="0" fillId="10" borderId="2" xfId="0" applyFill="1" applyBorder="1" applyAlignment="1">
      <alignment horizontal="center"/>
    </xf>
    <xf numFmtId="0" fontId="0" fillId="10" borderId="30" xfId="0" applyFill="1" applyBorder="1" applyAlignment="1">
      <alignment horizontal="center"/>
    </xf>
    <xf numFmtId="165" fontId="6" fillId="10" borderId="2" xfId="1" applyFill="1" applyBorder="1" applyAlignment="1">
      <alignment horizontal="center"/>
    </xf>
    <xf numFmtId="165" fontId="6" fillId="10" borderId="30" xfId="1" applyFill="1" applyBorder="1" applyAlignment="1">
      <alignment horizontal="center"/>
    </xf>
    <xf numFmtId="165" fontId="6" fillId="9" borderId="4" xfId="1" applyFill="1" applyBorder="1"/>
    <xf numFmtId="165" fontId="6" fillId="9" borderId="30" xfId="1" applyFill="1" applyBorder="1"/>
    <xf numFmtId="165" fontId="0" fillId="10" borderId="1" xfId="0" applyNumberFormat="1" applyFill="1" applyBorder="1" applyAlignment="1">
      <alignment horizontal="center"/>
    </xf>
    <xf numFmtId="0" fontId="0" fillId="9" borderId="1" xfId="0" applyFill="1" applyBorder="1" applyAlignment="1">
      <alignment horizontal="center"/>
    </xf>
    <xf numFmtId="0" fontId="0" fillId="9" borderId="4" xfId="0" applyFill="1" applyBorder="1" applyAlignment="1">
      <alignment horizontal="center"/>
    </xf>
    <xf numFmtId="0" fontId="0" fillId="9" borderId="2" xfId="0" applyFill="1" applyBorder="1" applyAlignment="1">
      <alignment horizontal="center"/>
    </xf>
    <xf numFmtId="0" fontId="0" fillId="9" borderId="30" xfId="0" applyFill="1" applyBorder="1" applyAlignment="1">
      <alignment horizontal="center"/>
    </xf>
    <xf numFmtId="165" fontId="6" fillId="9" borderId="2" xfId="1" applyFill="1" applyBorder="1" applyAlignment="1">
      <alignment horizontal="center"/>
    </xf>
    <xf numFmtId="165" fontId="6" fillId="9" borderId="30" xfId="1" applyFill="1" applyBorder="1" applyAlignment="1">
      <alignment horizontal="center"/>
    </xf>
    <xf numFmtId="165" fontId="6" fillId="10" borderId="1" xfId="1" applyFill="1" applyBorder="1"/>
    <xf numFmtId="165" fontId="0" fillId="9" borderId="1" xfId="0" applyNumberFormat="1" applyFill="1" applyBorder="1" applyAlignment="1">
      <alignment horizontal="center"/>
    </xf>
    <xf numFmtId="165" fontId="6" fillId="9" borderId="1" xfId="1" applyFill="1" applyBorder="1"/>
    <xf numFmtId="0" fontId="0" fillId="0" borderId="47" xfId="0" applyBorder="1" applyAlignment="1">
      <alignment horizontal="center" vertical="center" wrapText="1"/>
    </xf>
    <xf numFmtId="0" fontId="10" fillId="8" borderId="47" xfId="0" applyFont="1" applyFill="1" applyBorder="1" applyAlignment="1">
      <alignment horizontal="center"/>
    </xf>
    <xf numFmtId="165" fontId="6" fillId="0" borderId="47" xfId="1" applyBorder="1"/>
    <xf numFmtId="165" fontId="10" fillId="8" borderId="47" xfId="1" applyFont="1" applyFill="1" applyBorder="1"/>
    <xf numFmtId="165" fontId="6" fillId="0" borderId="0" xfId="1"/>
    <xf numFmtId="165" fontId="0" fillId="0" borderId="47" xfId="0" applyNumberFormat="1" applyBorder="1" applyAlignment="1">
      <alignment horizontal="center"/>
    </xf>
    <xf numFmtId="0" fontId="10" fillId="8" borderId="47" xfId="0" applyFont="1" applyFill="1" applyBorder="1" applyAlignment="1">
      <alignment horizontal="center" vertical="center"/>
    </xf>
    <xf numFmtId="165" fontId="6" fillId="0" borderId="47" xfId="1" applyBorder="1" applyAlignment="1">
      <alignment horizontal="center"/>
    </xf>
    <xf numFmtId="165" fontId="10" fillId="8" borderId="50" xfId="1" applyFont="1" applyFill="1" applyBorder="1" applyAlignment="1">
      <alignment horizontal="center" vertical="center"/>
    </xf>
    <xf numFmtId="165" fontId="10" fillId="8" borderId="49" xfId="1" applyFont="1" applyFill="1" applyBorder="1" applyAlignment="1">
      <alignment horizontal="center" vertical="center"/>
    </xf>
    <xf numFmtId="165" fontId="10" fillId="8" borderId="51" xfId="1" applyFont="1" applyFill="1" applyBorder="1" applyAlignment="1">
      <alignment horizontal="center" vertical="center"/>
    </xf>
    <xf numFmtId="165" fontId="10" fillId="8" borderId="31" xfId="1" applyFont="1" applyFill="1" applyBorder="1" applyAlignment="1">
      <alignment horizontal="center" vertical="center"/>
    </xf>
    <xf numFmtId="165" fontId="10" fillId="8" borderId="0" xfId="1" applyFont="1" applyFill="1" applyBorder="1" applyAlignment="1">
      <alignment horizontal="center" vertical="center"/>
    </xf>
    <xf numFmtId="165" fontId="10" fillId="8" borderId="52" xfId="1" applyFont="1" applyFill="1" applyBorder="1" applyAlignment="1">
      <alignment horizontal="center" vertical="center"/>
    </xf>
    <xf numFmtId="165" fontId="10" fillId="8" borderId="10" xfId="1" applyFont="1" applyFill="1" applyBorder="1" applyAlignment="1">
      <alignment horizontal="center" vertical="center"/>
    </xf>
    <xf numFmtId="165" fontId="10" fillId="8" borderId="48" xfId="1" applyFont="1" applyFill="1" applyBorder="1" applyAlignment="1">
      <alignment horizontal="center" vertical="center"/>
    </xf>
    <xf numFmtId="165" fontId="10" fillId="8" borderId="53" xfId="1" applyFont="1" applyFill="1" applyBorder="1" applyAlignment="1">
      <alignment horizontal="center" vertical="center"/>
    </xf>
    <xf numFmtId="0" fontId="0" fillId="0" borderId="1" xfId="0" applyFont="1" applyBorder="1" applyAlignment="1">
      <alignment horizontal="left" wrapText="1"/>
    </xf>
    <xf numFmtId="2" fontId="0" fillId="0" borderId="54" xfId="0" applyNumberFormat="1" applyBorder="1" applyAlignment="1">
      <alignment horizontal="center" wrapText="1"/>
    </xf>
    <xf numFmtId="2" fontId="0" fillId="0" borderId="33" xfId="0" applyNumberFormat="1" applyBorder="1" applyAlignment="1">
      <alignment horizontal="center" wrapText="1"/>
    </xf>
    <xf numFmtId="2" fontId="0" fillId="0" borderId="55" xfId="0" applyNumberFormat="1" applyBorder="1" applyAlignment="1">
      <alignment horizontal="center" wrapText="1"/>
    </xf>
    <xf numFmtId="0" fontId="0" fillId="0" borderId="1" xfId="0" applyFont="1" applyBorder="1" applyAlignment="1">
      <alignment vertical="center"/>
    </xf>
    <xf numFmtId="0" fontId="0" fillId="0" borderId="1" xfId="0" applyFont="1" applyBorder="1" applyAlignment="1">
      <alignment horizontal="left" vertical="center"/>
    </xf>
    <xf numFmtId="2" fontId="0" fillId="0" borderId="54" xfId="0" quotePrefix="1" applyNumberFormat="1" applyBorder="1" applyAlignment="1">
      <alignment horizontal="center" vertical="center" wrapText="1"/>
    </xf>
    <xf numFmtId="2" fontId="0" fillId="0" borderId="33" xfId="0" applyNumberFormat="1" applyBorder="1" applyAlignment="1">
      <alignment horizontal="center" vertical="center" wrapText="1"/>
    </xf>
    <xf numFmtId="2" fontId="0" fillId="0" borderId="55" xfId="0" applyNumberFormat="1" applyBorder="1" applyAlignment="1">
      <alignment horizontal="center" vertical="center" wrapText="1"/>
    </xf>
    <xf numFmtId="2" fontId="0" fillId="0" borderId="54" xfId="0" applyNumberFormat="1" applyFont="1" applyBorder="1" applyAlignment="1">
      <alignment horizontal="center" vertical="center"/>
    </xf>
    <xf numFmtId="2" fontId="0" fillId="0" borderId="33" xfId="0" applyNumberFormat="1" applyFont="1" applyBorder="1" applyAlignment="1">
      <alignment horizontal="center" vertical="center"/>
    </xf>
    <xf numFmtId="2" fontId="0" fillId="0" borderId="55" xfId="0" applyNumberFormat="1" applyFont="1" applyBorder="1" applyAlignment="1">
      <alignment horizontal="center" vertical="center"/>
    </xf>
    <xf numFmtId="0" fontId="17" fillId="0" borderId="90" xfId="0" applyFont="1" applyBorder="1" applyAlignment="1">
      <alignment horizontal="center" vertical="center" wrapText="1"/>
    </xf>
    <xf numFmtId="0" fontId="17" fillId="0" borderId="91" xfId="0" applyFont="1" applyBorder="1" applyAlignment="1">
      <alignment horizontal="center" vertical="center" wrapText="1"/>
    </xf>
    <xf numFmtId="0" fontId="17" fillId="0" borderId="0" xfId="0" applyFont="1" applyAlignment="1">
      <alignment horizontal="center" vertical="center" wrapText="1"/>
    </xf>
    <xf numFmtId="0" fontId="17" fillId="0" borderId="92" xfId="0" applyFont="1" applyBorder="1" applyAlignment="1">
      <alignment horizontal="center" vertical="center" wrapText="1"/>
    </xf>
    <xf numFmtId="0" fontId="22" fillId="0" borderId="47" xfId="0" applyFont="1" applyBorder="1" applyAlignment="1">
      <alignment horizontal="center" vertical="top" wrapText="1"/>
    </xf>
    <xf numFmtId="2" fontId="26" fillId="0" borderId="112" xfId="0" applyNumberFormat="1" applyFont="1" applyFill="1" applyBorder="1" applyAlignment="1">
      <alignment horizontal="left" vertical="top" indent="3" shrinkToFit="1"/>
    </xf>
    <xf numFmtId="2" fontId="26" fillId="0" borderId="113" xfId="0" applyNumberFormat="1" applyFont="1" applyFill="1" applyBorder="1" applyAlignment="1">
      <alignment horizontal="left" vertical="top" indent="3" shrinkToFit="1"/>
    </xf>
    <xf numFmtId="0" fontId="27" fillId="0" borderId="0" xfId="0" applyFont="1" applyFill="1" applyAlignment="1">
      <alignment horizontal="center" vertical="top" wrapText="1"/>
    </xf>
    <xf numFmtId="0" fontId="22" fillId="0" borderId="0" xfId="0" applyFont="1" applyAlignment="1">
      <alignment horizontal="left" vertical="top" wrapText="1" indent="7"/>
    </xf>
    <xf numFmtId="0" fontId="22" fillId="0" borderId="95" xfId="0" applyFont="1" applyBorder="1" applyAlignment="1">
      <alignment horizontal="left" vertical="top" wrapText="1" indent="1"/>
    </xf>
    <xf numFmtId="0" fontId="22" fillId="0" borderId="96" xfId="0" applyFont="1" applyBorder="1" applyAlignment="1">
      <alignment horizontal="left" vertical="top" wrapText="1" indent="1"/>
    </xf>
    <xf numFmtId="0" fontId="24" fillId="0" borderId="97" xfId="0" applyFont="1" applyBorder="1" applyAlignment="1">
      <alignment horizontal="left" vertical="top" wrapText="1"/>
    </xf>
    <xf numFmtId="0" fontId="24" fillId="0" borderId="98" xfId="0" applyFont="1" applyBorder="1" applyAlignment="1">
      <alignment horizontal="left" vertical="top" wrapText="1"/>
    </xf>
    <xf numFmtId="0" fontId="24" fillId="0" borderId="99" xfId="0" applyFont="1" applyBorder="1" applyAlignment="1">
      <alignment horizontal="left" vertical="top" wrapText="1" indent="1"/>
    </xf>
    <xf numFmtId="0" fontId="24" fillId="0" borderId="100" xfId="0" applyFont="1" applyBorder="1" applyAlignment="1">
      <alignment horizontal="left" vertical="top" wrapText="1" indent="1"/>
    </xf>
    <xf numFmtId="0" fontId="24" fillId="0" borderId="115" xfId="0" applyFont="1" applyBorder="1" applyAlignment="1">
      <alignment horizontal="left" vertical="top" wrapText="1"/>
    </xf>
    <xf numFmtId="0" fontId="24" fillId="0" borderId="116" xfId="0" applyFont="1" applyBorder="1" applyAlignment="1">
      <alignment horizontal="left" vertical="top" wrapText="1"/>
    </xf>
    <xf numFmtId="0" fontId="24" fillId="0" borderId="102" xfId="0" applyFont="1" applyBorder="1" applyAlignment="1">
      <alignment horizontal="center" vertical="top" wrapText="1"/>
    </xf>
    <xf numFmtId="0" fontId="24" fillId="0" borderId="103" xfId="0" applyFont="1" applyBorder="1" applyAlignment="1">
      <alignment horizontal="center" vertical="top" wrapText="1"/>
    </xf>
    <xf numFmtId="0" fontId="22" fillId="0" borderId="95" xfId="0" applyFont="1" applyBorder="1" applyAlignment="1">
      <alignment horizontal="center" vertical="top" wrapText="1"/>
    </xf>
    <xf numFmtId="0" fontId="22" fillId="0" borderId="96" xfId="0" applyFont="1" applyBorder="1" applyAlignment="1">
      <alignment horizontal="center" vertical="top" wrapText="1"/>
    </xf>
    <xf numFmtId="0" fontId="24" fillId="0" borderId="102" xfId="0" applyFont="1" applyBorder="1" applyAlignment="1">
      <alignment horizontal="center" vertical="center" wrapText="1"/>
    </xf>
    <xf numFmtId="0" fontId="24" fillId="0" borderId="103" xfId="0" applyFont="1" applyBorder="1" applyAlignment="1">
      <alignment horizontal="center" vertical="center" wrapText="1"/>
    </xf>
    <xf numFmtId="0" fontId="24" fillId="0" borderId="95" xfId="0" applyFont="1" applyBorder="1" applyAlignment="1">
      <alignment horizontal="center" vertical="top" wrapText="1"/>
    </xf>
    <xf numFmtId="0" fontId="24" fillId="0" borderId="96" xfId="0" applyFont="1" applyBorder="1" applyAlignment="1">
      <alignment horizontal="center" vertical="top" wrapText="1"/>
    </xf>
    <xf numFmtId="0" fontId="24" fillId="0" borderId="57" xfId="0" applyFont="1" applyBorder="1" applyAlignment="1">
      <alignment horizontal="center" vertical="top" wrapText="1"/>
    </xf>
    <xf numFmtId="0" fontId="24" fillId="0" borderId="56" xfId="0" applyFont="1" applyBorder="1" applyAlignment="1">
      <alignment horizontal="center" vertical="top" wrapText="1"/>
    </xf>
    <xf numFmtId="165" fontId="22" fillId="0" borderId="47" xfId="0" applyNumberFormat="1" applyFont="1" applyBorder="1" applyAlignment="1">
      <alignment horizontal="center" vertical="top" wrapText="1"/>
    </xf>
    <xf numFmtId="43" fontId="24" fillId="8" borderId="47" xfId="0" applyNumberFormat="1" applyFont="1" applyFill="1" applyBorder="1" applyAlignment="1">
      <alignment horizontal="center" vertical="top" wrapText="1"/>
    </xf>
    <xf numFmtId="0" fontId="24" fillId="0" borderId="97" xfId="0" applyFont="1" applyBorder="1" applyAlignment="1">
      <alignment horizontal="left" vertical="top" wrapText="1" indent="1"/>
    </xf>
    <xf numFmtId="0" fontId="24" fillId="0" borderId="98" xfId="0" applyFont="1" applyBorder="1" applyAlignment="1">
      <alignment horizontal="left" vertical="top" wrapText="1" indent="1"/>
    </xf>
    <xf numFmtId="0" fontId="22" fillId="0" borderId="114" xfId="0" applyFont="1" applyBorder="1" applyAlignment="1">
      <alignment horizontal="center" vertical="top" wrapText="1"/>
    </xf>
    <xf numFmtId="0" fontId="22" fillId="0" borderId="90" xfId="0" applyFont="1" applyBorder="1" applyAlignment="1">
      <alignment horizontal="center" vertical="top" wrapText="1"/>
    </xf>
    <xf numFmtId="0" fontId="22" fillId="0" borderId="91" xfId="0" applyFont="1" applyBorder="1" applyAlignment="1">
      <alignment horizontal="center" vertical="top" wrapText="1"/>
    </xf>
    <xf numFmtId="0" fontId="0" fillId="0" borderId="0" xfId="0" applyAlignment="1">
      <alignment horizontal="left" vertical="top" wrapText="1" indent="51"/>
    </xf>
    <xf numFmtId="0" fontId="24" fillId="0" borderId="99" xfId="0" applyFont="1" applyBorder="1" applyAlignment="1">
      <alignment horizontal="left" vertical="center" wrapText="1" indent="1"/>
    </xf>
    <xf numFmtId="0" fontId="24" fillId="0" borderId="100" xfId="0" applyFont="1" applyBorder="1" applyAlignment="1">
      <alignment horizontal="left" vertical="center" wrapText="1" indent="1"/>
    </xf>
    <xf numFmtId="0" fontId="15" fillId="0" borderId="47" xfId="0" applyFont="1" applyBorder="1" applyAlignment="1">
      <alignment horizontal="center"/>
    </xf>
    <xf numFmtId="0" fontId="21" fillId="0" borderId="47" xfId="0" applyFont="1" applyBorder="1" applyAlignment="1">
      <alignment horizontal="center" vertical="top" wrapText="1"/>
    </xf>
    <xf numFmtId="0" fontId="24" fillId="0" borderId="47" xfId="0" applyFont="1" applyBorder="1" applyAlignment="1">
      <alignment horizontal="center" vertical="top" wrapText="1"/>
    </xf>
    <xf numFmtId="0" fontId="21" fillId="0" borderId="106" xfId="0" applyFont="1" applyBorder="1" applyAlignment="1">
      <alignment horizontal="center"/>
    </xf>
    <xf numFmtId="0" fontId="21" fillId="0" borderId="47" xfId="0" applyFont="1" applyBorder="1" applyAlignment="1">
      <alignment horizontal="center"/>
    </xf>
    <xf numFmtId="0" fontId="22" fillId="0" borderId="106" xfId="0" applyFont="1" applyBorder="1" applyAlignment="1">
      <alignment horizontal="center" vertical="top" wrapText="1"/>
    </xf>
    <xf numFmtId="0" fontId="24" fillId="0" borderId="93" xfId="0" applyFont="1" applyBorder="1" applyAlignment="1">
      <alignment horizontal="left" vertical="top" wrapText="1" indent="1"/>
    </xf>
    <xf numFmtId="0" fontId="24" fillId="0" borderId="94" xfId="0" applyFont="1" applyBorder="1" applyAlignment="1">
      <alignment horizontal="left" vertical="top" wrapText="1" indent="1"/>
    </xf>
  </cellXfs>
  <cellStyles count="9">
    <cellStyle name="Excel Built-in Excel Built-in Excel Built-in Excel Built-in Normal 2" xfId="5" xr:uid="{7D1BB053-73BA-4901-8C53-2D174D82B975}"/>
    <cellStyle name="Excel Built-in Excel Built-in Excel Built-in Excel Built-in Separador de milhares 3" xfId="8" xr:uid="{F4707EF2-65F1-4E0C-BE48-4DEB46386CB4}"/>
    <cellStyle name="Moeda" xfId="1" builtinId="4"/>
    <cellStyle name="Normal" xfId="0" builtinId="0"/>
    <cellStyle name="Normal 2 2" xfId="6" xr:uid="{FDF5A40E-E2E4-48ED-A3BC-1C2BB21D4BEA}"/>
    <cellStyle name="Porcentagem" xfId="2" builtinId="5"/>
    <cellStyle name="Separador de milhares 3" xfId="7" xr:uid="{AAB56554-B0B5-444A-87DE-BBB86B9BDBEC}"/>
    <cellStyle name="TableStyleLight1" xfId="3" xr:uid="{00000000-0005-0000-0000-000003000000}"/>
    <cellStyle name="Vírgula" xfId="4"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DCE6F2"/>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DF0A0-752A-4942-8B08-1AA1722D11A3}">
  <dimension ref="A2:S149"/>
  <sheetViews>
    <sheetView tabSelected="1" topLeftCell="A58" zoomScale="118" zoomScaleNormal="118" workbookViewId="0">
      <selection activeCell="I104" sqref="I104"/>
    </sheetView>
  </sheetViews>
  <sheetFormatPr defaultColWidth="9.140625" defaultRowHeight="12.75" x14ac:dyDescent="0.2"/>
  <cols>
    <col min="1" max="3" width="9.140625" style="45"/>
    <col min="4" max="4" width="24" style="45" bestFit="1" customWidth="1"/>
    <col min="5"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62" t="s">
        <v>1</v>
      </c>
      <c r="B3" s="373" t="s">
        <v>2</v>
      </c>
      <c r="C3" s="373"/>
      <c r="D3" s="373"/>
      <c r="E3" s="373"/>
      <c r="F3" s="373"/>
      <c r="G3" s="373"/>
      <c r="H3" s="373"/>
      <c r="I3" s="1">
        <v>44182</v>
      </c>
      <c r="K3" s="63"/>
      <c r="L3" s="410"/>
      <c r="M3" s="410"/>
      <c r="N3" s="410"/>
      <c r="O3" s="410"/>
      <c r="P3" s="410"/>
      <c r="Q3" s="410"/>
      <c r="R3" s="416"/>
      <c r="S3" s="416"/>
    </row>
    <row r="4" spans="1:19" x14ac:dyDescent="0.2">
      <c r="A4" s="62" t="s">
        <v>3</v>
      </c>
      <c r="B4" s="373" t="s">
        <v>4</v>
      </c>
      <c r="C4" s="373"/>
      <c r="D4" s="373"/>
      <c r="E4" s="373"/>
      <c r="F4" s="373"/>
      <c r="G4" s="373"/>
      <c r="H4" s="373"/>
      <c r="I4" s="62" t="s">
        <v>183</v>
      </c>
      <c r="K4" s="63"/>
      <c r="L4" s="407"/>
      <c r="M4" s="407"/>
      <c r="N4" s="410"/>
      <c r="O4" s="410"/>
      <c r="P4" s="410"/>
      <c r="Q4" s="410"/>
      <c r="R4" s="410"/>
      <c r="S4" s="410"/>
    </row>
    <row r="5" spans="1:19" x14ac:dyDescent="0.2">
      <c r="A5" s="62" t="s">
        <v>5</v>
      </c>
      <c r="B5" s="373" t="s">
        <v>6</v>
      </c>
      <c r="C5" s="373"/>
      <c r="D5" s="373"/>
      <c r="E5" s="373"/>
      <c r="F5" s="373"/>
      <c r="G5" s="373"/>
      <c r="H5" s="373"/>
      <c r="I5" s="62">
        <v>2020</v>
      </c>
      <c r="K5" s="414"/>
      <c r="L5" s="414"/>
      <c r="M5" s="414"/>
      <c r="N5" s="414"/>
      <c r="O5" s="414"/>
      <c r="P5" s="414"/>
      <c r="Q5" s="414"/>
      <c r="R5" s="414"/>
      <c r="S5" s="414"/>
    </row>
    <row r="6" spans="1:19" x14ac:dyDescent="0.2">
      <c r="A6" s="62" t="s">
        <v>7</v>
      </c>
      <c r="B6" s="373" t="s">
        <v>8</v>
      </c>
      <c r="C6" s="373"/>
      <c r="D6" s="373"/>
      <c r="E6" s="373"/>
      <c r="F6" s="373"/>
      <c r="G6" s="373"/>
      <c r="H6" s="373"/>
      <c r="I6" s="62">
        <v>12</v>
      </c>
      <c r="K6" s="414"/>
      <c r="L6" s="414"/>
      <c r="M6" s="414"/>
      <c r="N6" s="414"/>
      <c r="O6" s="414"/>
      <c r="P6" s="414"/>
      <c r="Q6" s="414"/>
      <c r="R6" s="414"/>
      <c r="S6" s="414"/>
    </row>
    <row r="7" spans="1:19" x14ac:dyDescent="0.2">
      <c r="A7" s="57"/>
      <c r="B7" s="61"/>
      <c r="C7" s="61"/>
      <c r="D7" s="61"/>
      <c r="E7" s="61"/>
      <c r="F7" s="61"/>
      <c r="G7" s="61"/>
      <c r="H7" s="57"/>
      <c r="I7" s="57"/>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63"/>
      <c r="L9" s="406"/>
      <c r="M9" s="406"/>
      <c r="N9" s="406"/>
      <c r="O9" s="406"/>
      <c r="P9" s="406"/>
      <c r="Q9" s="406"/>
      <c r="R9" s="410"/>
      <c r="S9" s="410"/>
    </row>
    <row r="10" spans="1:19" ht="27" customHeight="1" x14ac:dyDescent="0.2">
      <c r="A10" s="411" t="s">
        <v>129</v>
      </c>
      <c r="B10" s="411"/>
      <c r="C10" s="370"/>
      <c r="D10" s="370"/>
      <c r="E10" s="412">
        <v>1</v>
      </c>
      <c r="F10" s="412"/>
      <c r="G10" s="412"/>
      <c r="H10" s="412"/>
      <c r="I10" s="412"/>
      <c r="K10" s="64"/>
      <c r="L10" s="408"/>
      <c r="M10" s="408"/>
      <c r="N10" s="408"/>
      <c r="O10" s="408"/>
      <c r="P10" s="408"/>
      <c r="Q10" s="408"/>
      <c r="R10" s="413"/>
      <c r="S10" s="413"/>
    </row>
    <row r="11" spans="1:19" x14ac:dyDescent="0.2">
      <c r="A11" s="57"/>
      <c r="B11" s="61"/>
      <c r="C11" s="61"/>
      <c r="D11" s="61"/>
      <c r="E11" s="61"/>
      <c r="F11" s="61"/>
      <c r="G11" s="61"/>
      <c r="H11" s="57"/>
      <c r="I11" s="57"/>
      <c r="K11" s="63"/>
      <c r="L11" s="406"/>
      <c r="M11" s="406"/>
      <c r="N11" s="406"/>
      <c r="O11" s="406"/>
      <c r="P11" s="406"/>
      <c r="Q11" s="406"/>
      <c r="R11" s="407"/>
      <c r="S11" s="407"/>
    </row>
    <row r="12" spans="1:19" x14ac:dyDescent="0.2">
      <c r="A12" s="395" t="s">
        <v>13</v>
      </c>
      <c r="B12" s="395"/>
      <c r="C12" s="395"/>
      <c r="D12" s="395"/>
      <c r="E12" s="395"/>
      <c r="F12" s="395"/>
      <c r="G12" s="395"/>
      <c r="H12" s="395"/>
      <c r="I12" s="395"/>
      <c r="K12" s="64"/>
      <c r="L12" s="408"/>
      <c r="M12" s="408"/>
      <c r="N12" s="408"/>
      <c r="O12" s="408"/>
      <c r="P12" s="408"/>
      <c r="Q12" s="408"/>
      <c r="R12" s="409"/>
      <c r="S12" s="409"/>
    </row>
    <row r="13" spans="1:19" x14ac:dyDescent="0.2">
      <c r="A13" s="62">
        <v>1</v>
      </c>
      <c r="B13" s="373" t="s">
        <v>14</v>
      </c>
      <c r="C13" s="373"/>
      <c r="D13" s="373"/>
      <c r="E13" s="373"/>
      <c r="F13" s="373"/>
      <c r="G13" s="373"/>
      <c r="H13" s="373"/>
      <c r="I13" s="50" t="s">
        <v>184</v>
      </c>
      <c r="K13" s="2"/>
      <c r="L13" s="2"/>
      <c r="M13" s="2"/>
      <c r="N13" s="2"/>
      <c r="O13" s="2"/>
      <c r="P13" s="2"/>
      <c r="Q13" s="2"/>
      <c r="R13" s="2"/>
      <c r="S13" s="2"/>
    </row>
    <row r="14" spans="1:19" x14ac:dyDescent="0.2">
      <c r="A14" s="62">
        <v>2</v>
      </c>
      <c r="B14" s="373" t="s">
        <v>15</v>
      </c>
      <c r="C14" s="373"/>
      <c r="D14" s="373"/>
      <c r="E14" s="373"/>
      <c r="F14" s="373"/>
      <c r="G14" s="373"/>
      <c r="H14" s="373"/>
      <c r="I14" s="62"/>
    </row>
    <row r="15" spans="1:19" x14ac:dyDescent="0.2">
      <c r="A15" s="62">
        <v>3</v>
      </c>
      <c r="B15" s="373" t="s">
        <v>16</v>
      </c>
      <c r="C15" s="373"/>
      <c r="D15" s="373"/>
      <c r="E15" s="373"/>
      <c r="F15" s="373"/>
      <c r="G15" s="373"/>
      <c r="H15" s="373"/>
      <c r="I15" s="3">
        <v>1075</v>
      </c>
    </row>
    <row r="16" spans="1:19" x14ac:dyDescent="0.2">
      <c r="A16" s="62">
        <v>4</v>
      </c>
      <c r="B16" s="373" t="s">
        <v>17</v>
      </c>
      <c r="C16" s="373"/>
      <c r="D16" s="373"/>
      <c r="E16" s="373"/>
      <c r="F16" s="373"/>
      <c r="G16" s="373"/>
      <c r="H16" s="373"/>
      <c r="I16" s="1" t="str">
        <f>A10</f>
        <v>ASG</v>
      </c>
    </row>
    <row r="17" spans="1:12" x14ac:dyDescent="0.2">
      <c r="A17" s="62">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59">
        <v>1</v>
      </c>
      <c r="B20" s="389" t="s">
        <v>20</v>
      </c>
      <c r="C20" s="389"/>
      <c r="D20" s="389"/>
      <c r="E20" s="389"/>
      <c r="F20" s="389"/>
      <c r="G20" s="389"/>
      <c r="H20" s="59" t="s">
        <v>21</v>
      </c>
      <c r="I20" s="59" t="s">
        <v>22</v>
      </c>
    </row>
    <row r="21" spans="1:12" x14ac:dyDescent="0.2">
      <c r="A21" s="59" t="s">
        <v>1</v>
      </c>
      <c r="B21" s="373" t="s">
        <v>23</v>
      </c>
      <c r="C21" s="373"/>
      <c r="D21" s="373"/>
      <c r="E21" s="373"/>
      <c r="F21" s="373"/>
      <c r="G21" s="373"/>
      <c r="H21" s="4"/>
      <c r="I21" s="5">
        <f>I15</f>
        <v>1075</v>
      </c>
      <c r="L21" s="20">
        <f>I35+I46+I71+I81</f>
        <v>708.60565374999999</v>
      </c>
    </row>
    <row r="22" spans="1:12" x14ac:dyDescent="0.2">
      <c r="A22" s="59" t="s">
        <v>3</v>
      </c>
      <c r="B22" s="373" t="s">
        <v>24</v>
      </c>
      <c r="C22" s="373"/>
      <c r="D22" s="373"/>
      <c r="E22" s="373"/>
      <c r="F22" s="373"/>
      <c r="G22" s="373"/>
      <c r="H22" s="6"/>
      <c r="I22" s="5">
        <v>0</v>
      </c>
      <c r="L22" s="53">
        <f>L21/I28</f>
        <v>0.65916805000000001</v>
      </c>
    </row>
    <row r="23" spans="1:12" x14ac:dyDescent="0.2">
      <c r="A23" s="59" t="s">
        <v>5</v>
      </c>
      <c r="B23" s="373" t="s">
        <v>25</v>
      </c>
      <c r="C23" s="373"/>
      <c r="D23" s="373"/>
      <c r="E23" s="373"/>
      <c r="F23" s="373"/>
      <c r="G23" s="373"/>
      <c r="H23" s="6">
        <v>0</v>
      </c>
      <c r="I23" s="5">
        <f>I21*H23</f>
        <v>0</v>
      </c>
    </row>
    <row r="24" spans="1:12" x14ac:dyDescent="0.2">
      <c r="A24" s="59" t="s">
        <v>7</v>
      </c>
      <c r="B24" s="373" t="s">
        <v>26</v>
      </c>
      <c r="C24" s="373"/>
      <c r="D24" s="373"/>
      <c r="E24" s="373"/>
      <c r="F24" s="373"/>
      <c r="G24" s="373"/>
      <c r="H24" s="6"/>
      <c r="I24" s="5">
        <v>0</v>
      </c>
    </row>
    <row r="25" spans="1:12" x14ac:dyDescent="0.2">
      <c r="A25" s="59" t="s">
        <v>27</v>
      </c>
      <c r="B25" s="373" t="s">
        <v>28</v>
      </c>
      <c r="C25" s="373"/>
      <c r="D25" s="373"/>
      <c r="E25" s="373"/>
      <c r="F25" s="373"/>
      <c r="G25" s="373"/>
      <c r="H25" s="6"/>
      <c r="I25" s="5">
        <v>0</v>
      </c>
    </row>
    <row r="26" spans="1:12" x14ac:dyDescent="0.2">
      <c r="A26" s="59" t="s">
        <v>29</v>
      </c>
      <c r="B26" s="373" t="s">
        <v>30</v>
      </c>
      <c r="C26" s="373"/>
      <c r="D26" s="373"/>
      <c r="E26" s="373"/>
      <c r="F26" s="373"/>
      <c r="G26" s="373"/>
      <c r="H26" s="6"/>
      <c r="I26" s="5">
        <v>0</v>
      </c>
    </row>
    <row r="27" spans="1:12" x14ac:dyDescent="0.2">
      <c r="A27" s="59"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1075</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59" t="s">
        <v>21</v>
      </c>
      <c r="I31" s="59" t="s">
        <v>22</v>
      </c>
      <c r="J31" s="48"/>
    </row>
    <row r="32" spans="1:12" x14ac:dyDescent="0.2">
      <c r="A32" s="59" t="s">
        <v>1</v>
      </c>
      <c r="B32" s="373" t="s">
        <v>36</v>
      </c>
      <c r="C32" s="373"/>
      <c r="D32" s="373"/>
      <c r="E32" s="373"/>
      <c r="F32" s="373"/>
      <c r="G32" s="373"/>
      <c r="H32" s="10">
        <v>8.3299999999999999E-2</v>
      </c>
      <c r="I32" s="5">
        <f>$I$28*H32</f>
        <v>89.547499999999999</v>
      </c>
      <c r="J32" s="48"/>
    </row>
    <row r="33" spans="1:11" x14ac:dyDescent="0.2">
      <c r="A33" s="59" t="s">
        <v>3</v>
      </c>
      <c r="B33" s="373" t="s">
        <v>185</v>
      </c>
      <c r="C33" s="373"/>
      <c r="D33" s="373"/>
      <c r="E33" s="373"/>
      <c r="F33" s="373"/>
      <c r="G33" s="373"/>
      <c r="H33" s="11">
        <v>2.7799999999999998E-2</v>
      </c>
      <c r="I33" s="5">
        <f>H33*I28</f>
        <v>29.884999999999998</v>
      </c>
      <c r="J33" s="48"/>
    </row>
    <row r="34" spans="1:11" x14ac:dyDescent="0.2">
      <c r="A34" s="79" t="s">
        <v>132</v>
      </c>
      <c r="B34" s="373" t="s">
        <v>133</v>
      </c>
      <c r="C34" s="373"/>
      <c r="D34" s="373"/>
      <c r="E34" s="373"/>
      <c r="F34" s="373"/>
      <c r="G34" s="373"/>
      <c r="H34" s="11">
        <f>(H32+H33)*H46</f>
        <v>3.9784910000000007E-2</v>
      </c>
      <c r="I34" s="5">
        <f>I28*H34</f>
        <v>42.768778250000004</v>
      </c>
      <c r="J34" s="48"/>
    </row>
    <row r="35" spans="1:11" x14ac:dyDescent="0.2">
      <c r="A35" s="389" t="s">
        <v>37</v>
      </c>
      <c r="B35" s="389"/>
      <c r="C35" s="389"/>
      <c r="D35" s="389"/>
      <c r="E35" s="389"/>
      <c r="F35" s="389"/>
      <c r="G35" s="389"/>
      <c r="H35" s="12">
        <f>TRUNC(SUM(H32:H33),4)</f>
        <v>0.1111</v>
      </c>
      <c r="I35" s="13">
        <f>SUM(I32:I34)</f>
        <v>162.20127825</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59" t="s">
        <v>21</v>
      </c>
      <c r="I37" s="59" t="s">
        <v>22</v>
      </c>
      <c r="J37" s="48"/>
      <c r="K37" s="404"/>
    </row>
    <row r="38" spans="1:11" x14ac:dyDescent="0.2">
      <c r="A38" s="59" t="s">
        <v>1</v>
      </c>
      <c r="B38" s="373" t="s">
        <v>39</v>
      </c>
      <c r="C38" s="373"/>
      <c r="D38" s="373"/>
      <c r="E38" s="373"/>
      <c r="F38" s="373"/>
      <c r="G38" s="373"/>
      <c r="H38" s="10">
        <v>0.2</v>
      </c>
      <c r="I38" s="5">
        <f>($I$28)*H38</f>
        <v>215</v>
      </c>
      <c r="J38" s="48"/>
      <c r="K38" s="404"/>
    </row>
    <row r="39" spans="1:11" x14ac:dyDescent="0.2">
      <c r="A39" s="59" t="s">
        <v>3</v>
      </c>
      <c r="B39" s="373" t="s">
        <v>40</v>
      </c>
      <c r="C39" s="373"/>
      <c r="D39" s="373"/>
      <c r="E39" s="373"/>
      <c r="F39" s="373"/>
      <c r="G39" s="373"/>
      <c r="H39" s="10">
        <v>2.5000000000000001E-2</v>
      </c>
      <c r="I39" s="5">
        <f t="shared" ref="I39:I45" si="0">($I$28)*H39</f>
        <v>26.875</v>
      </c>
      <c r="J39" s="48"/>
      <c r="K39" s="404"/>
    </row>
    <row r="40" spans="1:11" x14ac:dyDescent="0.2">
      <c r="A40" s="59" t="s">
        <v>5</v>
      </c>
      <c r="B40" s="373" t="s">
        <v>41</v>
      </c>
      <c r="C40" s="373"/>
      <c r="D40" s="373"/>
      <c r="E40" s="373"/>
      <c r="F40" s="373"/>
      <c r="G40" s="373"/>
      <c r="H40" s="10">
        <v>2.01E-2</v>
      </c>
      <c r="I40" s="5">
        <f t="shared" si="0"/>
        <v>21.607499999999998</v>
      </c>
      <c r="J40" s="48"/>
      <c r="K40" s="404"/>
    </row>
    <row r="41" spans="1:11" x14ac:dyDescent="0.2">
      <c r="A41" s="59" t="s">
        <v>7</v>
      </c>
      <c r="B41" s="373" t="s">
        <v>42</v>
      </c>
      <c r="C41" s="373"/>
      <c r="D41" s="373"/>
      <c r="E41" s="373"/>
      <c r="F41" s="373"/>
      <c r="G41" s="373"/>
      <c r="H41" s="10">
        <v>1.4999999999999999E-2</v>
      </c>
      <c r="I41" s="5">
        <f t="shared" si="0"/>
        <v>16.125</v>
      </c>
      <c r="J41" s="48"/>
      <c r="K41" s="404"/>
    </row>
    <row r="42" spans="1:11" x14ac:dyDescent="0.2">
      <c r="A42" s="59" t="s">
        <v>27</v>
      </c>
      <c r="B42" s="373" t="s">
        <v>43</v>
      </c>
      <c r="C42" s="373"/>
      <c r="D42" s="373"/>
      <c r="E42" s="373"/>
      <c r="F42" s="373"/>
      <c r="G42" s="373"/>
      <c r="H42" s="10">
        <v>0.01</v>
      </c>
      <c r="I42" s="5">
        <f t="shared" si="0"/>
        <v>10.75</v>
      </c>
      <c r="J42" s="48"/>
      <c r="K42" s="404"/>
    </row>
    <row r="43" spans="1:11" x14ac:dyDescent="0.2">
      <c r="A43" s="59" t="s">
        <v>29</v>
      </c>
      <c r="B43" s="373" t="s">
        <v>44</v>
      </c>
      <c r="C43" s="373"/>
      <c r="D43" s="373"/>
      <c r="E43" s="373"/>
      <c r="F43" s="373"/>
      <c r="G43" s="373"/>
      <c r="H43" s="10">
        <v>6.0000000000000001E-3</v>
      </c>
      <c r="I43" s="5">
        <f t="shared" si="0"/>
        <v>6.45</v>
      </c>
      <c r="J43" s="48"/>
      <c r="K43" s="404"/>
    </row>
    <row r="44" spans="1:11" x14ac:dyDescent="0.2">
      <c r="A44" s="59" t="s">
        <v>31</v>
      </c>
      <c r="B44" s="373" t="s">
        <v>45</v>
      </c>
      <c r="C44" s="373"/>
      <c r="D44" s="373"/>
      <c r="E44" s="373"/>
      <c r="F44" s="373"/>
      <c r="G44" s="373"/>
      <c r="H44" s="10">
        <v>2E-3</v>
      </c>
      <c r="I44" s="5">
        <f t="shared" si="0"/>
        <v>2.15</v>
      </c>
      <c r="J44" s="48"/>
      <c r="K44" s="404"/>
    </row>
    <row r="45" spans="1:11" x14ac:dyDescent="0.2">
      <c r="A45" s="59" t="s">
        <v>46</v>
      </c>
      <c r="B45" s="373" t="s">
        <v>47</v>
      </c>
      <c r="C45" s="373"/>
      <c r="D45" s="373"/>
      <c r="E45" s="373"/>
      <c r="F45" s="373"/>
      <c r="G45" s="373"/>
      <c r="H45" s="10">
        <v>0.08</v>
      </c>
      <c r="I45" s="5">
        <f t="shared" si="0"/>
        <v>86</v>
      </c>
      <c r="J45" s="48"/>
      <c r="K45" s="404"/>
    </row>
    <row r="46" spans="1:11" x14ac:dyDescent="0.2">
      <c r="A46" s="389" t="s">
        <v>48</v>
      </c>
      <c r="B46" s="389"/>
      <c r="C46" s="389"/>
      <c r="D46" s="389"/>
      <c r="E46" s="389"/>
      <c r="F46" s="389"/>
      <c r="G46" s="389"/>
      <c r="H46" s="12">
        <f>SUM(H38:H45)</f>
        <v>0.35810000000000003</v>
      </c>
      <c r="I46" s="13">
        <f>(SUM(I38:I45))</f>
        <v>384.95749999999998</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59" t="s">
        <v>22</v>
      </c>
      <c r="J48" s="48"/>
    </row>
    <row r="49" spans="1:10" x14ac:dyDescent="0.2">
      <c r="A49" s="59" t="s">
        <v>1</v>
      </c>
      <c r="B49" s="393" t="s">
        <v>125</v>
      </c>
      <c r="C49" s="393"/>
      <c r="D49" s="393"/>
      <c r="E49" s="393"/>
      <c r="F49" s="393"/>
      <c r="G49" s="393"/>
      <c r="H49" s="55">
        <v>3.65</v>
      </c>
      <c r="I49" s="14">
        <f>(H49*2*22)-(I21*0.06)</f>
        <v>96.1</v>
      </c>
      <c r="J49" s="48"/>
    </row>
    <row r="50" spans="1:10" x14ac:dyDescent="0.2">
      <c r="A50" s="59" t="s">
        <v>3</v>
      </c>
      <c r="B50" s="393" t="s">
        <v>124</v>
      </c>
      <c r="C50" s="393"/>
      <c r="D50" s="393"/>
      <c r="E50" s="393"/>
      <c r="F50" s="393"/>
      <c r="G50" s="393"/>
      <c r="H50" s="55">
        <v>418</v>
      </c>
      <c r="I50" s="15">
        <f>H50*0.8</f>
        <v>334.40000000000003</v>
      </c>
      <c r="J50" s="49"/>
    </row>
    <row r="51" spans="1:10" x14ac:dyDescent="0.2">
      <c r="A51" s="59" t="s">
        <v>5</v>
      </c>
      <c r="B51" s="393" t="s">
        <v>126</v>
      </c>
      <c r="C51" s="393"/>
      <c r="D51" s="393"/>
      <c r="E51" s="393"/>
      <c r="F51" s="393"/>
      <c r="G51" s="393"/>
      <c r="H51" s="55">
        <v>0</v>
      </c>
      <c r="I51" s="14">
        <f>H51</f>
        <v>0</v>
      </c>
      <c r="J51" s="48"/>
    </row>
    <row r="52" spans="1:10" x14ac:dyDescent="0.2">
      <c r="A52" s="59" t="s">
        <v>7</v>
      </c>
      <c r="B52" s="397" t="s">
        <v>127</v>
      </c>
      <c r="C52" s="398"/>
      <c r="D52" s="398"/>
      <c r="E52" s="398"/>
      <c r="F52" s="398"/>
      <c r="G52" s="399"/>
      <c r="H52" s="55">
        <v>0</v>
      </c>
      <c r="I52" s="14">
        <f>H52</f>
        <v>0</v>
      </c>
      <c r="J52" s="48"/>
    </row>
    <row r="53" spans="1:10" x14ac:dyDescent="0.2">
      <c r="A53" s="59"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438.5</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59" t="s">
        <v>22</v>
      </c>
      <c r="J57" s="48"/>
    </row>
    <row r="58" spans="1:10" x14ac:dyDescent="0.2">
      <c r="A58" s="59" t="s">
        <v>54</v>
      </c>
      <c r="B58" s="370" t="s">
        <v>55</v>
      </c>
      <c r="C58" s="370"/>
      <c r="D58" s="370"/>
      <c r="E58" s="370"/>
      <c r="F58" s="370"/>
      <c r="G58" s="370"/>
      <c r="H58" s="370"/>
      <c r="I58" s="16">
        <f>I35</f>
        <v>162.20127825</v>
      </c>
      <c r="J58" s="48"/>
    </row>
    <row r="59" spans="1:10" x14ac:dyDescent="0.2">
      <c r="A59" s="59" t="s">
        <v>56</v>
      </c>
      <c r="B59" s="370" t="s">
        <v>57</v>
      </c>
      <c r="C59" s="370"/>
      <c r="D59" s="370"/>
      <c r="E59" s="370"/>
      <c r="F59" s="370"/>
      <c r="G59" s="370"/>
      <c r="H59" s="370"/>
      <c r="I59" s="16">
        <f>I46</f>
        <v>384.95749999999998</v>
      </c>
      <c r="J59" s="48"/>
    </row>
    <row r="60" spans="1:10" x14ac:dyDescent="0.2">
      <c r="A60" s="59" t="s">
        <v>58</v>
      </c>
      <c r="B60" s="370" t="s">
        <v>59</v>
      </c>
      <c r="C60" s="370"/>
      <c r="D60" s="370"/>
      <c r="E60" s="370"/>
      <c r="F60" s="370"/>
      <c r="G60" s="370"/>
      <c r="H60" s="370"/>
      <c r="I60" s="16">
        <f>I54</f>
        <v>438.5</v>
      </c>
      <c r="J60" s="48"/>
    </row>
    <row r="61" spans="1:10" x14ac:dyDescent="0.2">
      <c r="A61" s="389" t="s">
        <v>60</v>
      </c>
      <c r="B61" s="389"/>
      <c r="C61" s="389"/>
      <c r="D61" s="389"/>
      <c r="E61" s="389"/>
      <c r="F61" s="389"/>
      <c r="G61" s="389"/>
      <c r="H61" s="389"/>
      <c r="I61" s="13">
        <f>(SUM(I58:I60))</f>
        <v>985.65877824999995</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59">
        <v>3</v>
      </c>
      <c r="B64" s="389" t="s">
        <v>62</v>
      </c>
      <c r="C64" s="389"/>
      <c r="D64" s="389"/>
      <c r="E64" s="389"/>
      <c r="F64" s="389"/>
      <c r="G64" s="389"/>
      <c r="H64" s="59" t="s">
        <v>21</v>
      </c>
      <c r="I64" s="59" t="s">
        <v>22</v>
      </c>
      <c r="J64" s="48"/>
    </row>
    <row r="65" spans="1:11" x14ac:dyDescent="0.2">
      <c r="A65" s="59" t="s">
        <v>1</v>
      </c>
      <c r="B65" s="373" t="s">
        <v>63</v>
      </c>
      <c r="C65" s="373"/>
      <c r="D65" s="373"/>
      <c r="E65" s="373"/>
      <c r="F65" s="373"/>
      <c r="G65" s="373"/>
      <c r="H65" s="17">
        <v>4.1999999999999997E-3</v>
      </c>
      <c r="I65" s="16">
        <f>$I$28*H65</f>
        <v>4.5149999999999997</v>
      </c>
      <c r="J65" s="48"/>
    </row>
    <row r="66" spans="1:11" x14ac:dyDescent="0.2">
      <c r="A66" s="59" t="s">
        <v>3</v>
      </c>
      <c r="B66" s="373" t="s">
        <v>64</v>
      </c>
      <c r="C66" s="373"/>
      <c r="D66" s="373"/>
      <c r="E66" s="373"/>
      <c r="F66" s="373"/>
      <c r="G66" s="373"/>
      <c r="H66" s="17">
        <f>H45*H65</f>
        <v>3.3599999999999998E-4</v>
      </c>
      <c r="I66" s="5">
        <f>H66*I28</f>
        <v>0.36119999999999997</v>
      </c>
      <c r="J66" s="48"/>
    </row>
    <row r="67" spans="1:11" x14ac:dyDescent="0.2">
      <c r="A67" s="59" t="s">
        <v>5</v>
      </c>
      <c r="B67" s="373" t="s">
        <v>65</v>
      </c>
      <c r="C67" s="373"/>
      <c r="D67" s="373"/>
      <c r="E67" s="373"/>
      <c r="F67" s="373"/>
      <c r="G67" s="373"/>
      <c r="H67" s="18">
        <v>0.01</v>
      </c>
      <c r="I67" s="5">
        <f>$I$28*H67</f>
        <v>10.75</v>
      </c>
      <c r="J67" s="48"/>
    </row>
    <row r="68" spans="1:11" x14ac:dyDescent="0.2">
      <c r="A68" s="59" t="s">
        <v>7</v>
      </c>
      <c r="B68" s="373" t="s">
        <v>66</v>
      </c>
      <c r="C68" s="373"/>
      <c r="D68" s="373"/>
      <c r="E68" s="373"/>
      <c r="F68" s="373"/>
      <c r="G68" s="373"/>
      <c r="H68" s="46">
        <v>1.9400000000000001E-2</v>
      </c>
      <c r="I68" s="5">
        <f>$I$28*H68</f>
        <v>20.855</v>
      </c>
      <c r="J68" s="48"/>
    </row>
    <row r="69" spans="1:11" x14ac:dyDescent="0.2">
      <c r="A69" s="59" t="s">
        <v>27</v>
      </c>
      <c r="B69" s="373" t="s">
        <v>67</v>
      </c>
      <c r="C69" s="373"/>
      <c r="D69" s="373"/>
      <c r="E69" s="373"/>
      <c r="F69" s="373"/>
      <c r="G69" s="373"/>
      <c r="H69" s="19">
        <f>H46*H68</f>
        <v>6.947140000000001E-3</v>
      </c>
      <c r="I69" s="5">
        <f>$I$28*H69</f>
        <v>7.468175500000001</v>
      </c>
      <c r="J69" s="48"/>
    </row>
    <row r="70" spans="1:11" x14ac:dyDescent="0.2">
      <c r="A70" s="59" t="s">
        <v>29</v>
      </c>
      <c r="B70" s="373" t="s">
        <v>68</v>
      </c>
      <c r="C70" s="373"/>
      <c r="D70" s="373"/>
      <c r="E70" s="373"/>
      <c r="F70" s="373"/>
      <c r="G70" s="373"/>
      <c r="H70" s="54">
        <v>2.1999999999999999E-2</v>
      </c>
      <c r="I70" s="5">
        <f>$I$28*H70</f>
        <v>23.65</v>
      </c>
      <c r="J70" s="48"/>
      <c r="K70" s="20"/>
    </row>
    <row r="71" spans="1:11" x14ac:dyDescent="0.2">
      <c r="A71" s="389" t="s">
        <v>69</v>
      </c>
      <c r="B71" s="389"/>
      <c r="C71" s="389"/>
      <c r="D71" s="389"/>
      <c r="E71" s="389"/>
      <c r="F71" s="389"/>
      <c r="G71" s="389"/>
      <c r="H71" s="12">
        <f>TRUNC(SUM(H65:H70),4)</f>
        <v>6.2799999999999995E-2</v>
      </c>
      <c r="I71" s="13">
        <f>(SUM(I65:I70))</f>
        <v>67.599375500000008</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59" t="s">
        <v>21</v>
      </c>
      <c r="I74" s="59" t="s">
        <v>22</v>
      </c>
      <c r="J74" s="48"/>
    </row>
    <row r="75" spans="1:11" x14ac:dyDescent="0.2">
      <c r="A75" s="59" t="s">
        <v>1</v>
      </c>
      <c r="B75" s="373" t="s">
        <v>186</v>
      </c>
      <c r="C75" s="373"/>
      <c r="D75" s="373"/>
      <c r="E75" s="373"/>
      <c r="F75" s="373"/>
      <c r="G75" s="373"/>
      <c r="H75" s="148">
        <v>8.3299999999999999E-2</v>
      </c>
      <c r="I75" s="5">
        <f t="shared" ref="I75:I80" si="1">$I$28*H75</f>
        <v>89.547499999999999</v>
      </c>
      <c r="J75" s="48"/>
    </row>
    <row r="76" spans="1:11" x14ac:dyDescent="0.2">
      <c r="A76" s="59" t="s">
        <v>3</v>
      </c>
      <c r="B76" s="373" t="s">
        <v>187</v>
      </c>
      <c r="C76" s="373"/>
      <c r="D76" s="373"/>
      <c r="E76" s="373"/>
      <c r="F76" s="373"/>
      <c r="G76" s="373"/>
      <c r="H76" s="148">
        <v>2.8E-3</v>
      </c>
      <c r="I76" s="16">
        <f t="shared" si="1"/>
        <v>3.01</v>
      </c>
      <c r="J76" s="48"/>
    </row>
    <row r="77" spans="1:11" x14ac:dyDescent="0.2">
      <c r="A77" s="59" t="s">
        <v>5</v>
      </c>
      <c r="B77" s="373" t="s">
        <v>188</v>
      </c>
      <c r="C77" s="373"/>
      <c r="D77" s="373"/>
      <c r="E77" s="373"/>
      <c r="F77" s="373"/>
      <c r="G77" s="373"/>
      <c r="H77" s="17">
        <v>2.0000000000000001E-4</v>
      </c>
      <c r="I77" s="16">
        <f t="shared" si="1"/>
        <v>0.215</v>
      </c>
      <c r="J77" s="48"/>
    </row>
    <row r="78" spans="1:11" x14ac:dyDescent="0.2">
      <c r="A78" s="59" t="s">
        <v>7</v>
      </c>
      <c r="B78" s="373" t="s">
        <v>189</v>
      </c>
      <c r="C78" s="373"/>
      <c r="D78" s="373"/>
      <c r="E78" s="373"/>
      <c r="F78" s="373"/>
      <c r="G78" s="373"/>
      <c r="H78" s="148">
        <v>2.9999999999999997E-4</v>
      </c>
      <c r="I78" s="16">
        <f t="shared" si="1"/>
        <v>0.32249999999999995</v>
      </c>
      <c r="J78" s="48"/>
    </row>
    <row r="79" spans="1:11" x14ac:dyDescent="0.2">
      <c r="A79" s="59" t="s">
        <v>27</v>
      </c>
      <c r="B79" s="373" t="s">
        <v>190</v>
      </c>
      <c r="C79" s="373"/>
      <c r="D79" s="373"/>
      <c r="E79" s="373"/>
      <c r="F79" s="373"/>
      <c r="G79" s="373"/>
      <c r="H79" s="17">
        <v>6.9999999999999999E-4</v>
      </c>
      <c r="I79" s="16">
        <f t="shared" si="1"/>
        <v>0.75249999999999995</v>
      </c>
      <c r="J79" s="48"/>
    </row>
    <row r="80" spans="1:11" x14ac:dyDescent="0.2">
      <c r="A80" s="59"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93.847500000000011</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59" t="s">
        <v>21</v>
      </c>
      <c r="I83" s="59" t="s">
        <v>22</v>
      </c>
      <c r="J83" s="48"/>
    </row>
    <row r="84" spans="1:10" x14ac:dyDescent="0.2">
      <c r="A84" s="59"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59" t="s">
        <v>22</v>
      </c>
      <c r="J88" s="48"/>
    </row>
    <row r="89" spans="1:10" x14ac:dyDescent="0.2">
      <c r="A89" s="59" t="s">
        <v>77</v>
      </c>
      <c r="B89" s="370" t="s">
        <v>193</v>
      </c>
      <c r="C89" s="370"/>
      <c r="D89" s="370"/>
      <c r="E89" s="370"/>
      <c r="F89" s="370"/>
      <c r="G89" s="370"/>
      <c r="H89" s="370"/>
      <c r="I89" s="16">
        <f>I81</f>
        <v>93.847500000000011</v>
      </c>
      <c r="J89" s="48"/>
    </row>
    <row r="90" spans="1:10" x14ac:dyDescent="0.2">
      <c r="A90" s="59" t="s">
        <v>78</v>
      </c>
      <c r="B90" s="370" t="s">
        <v>194</v>
      </c>
      <c r="C90" s="370"/>
      <c r="D90" s="370"/>
      <c r="E90" s="370"/>
      <c r="F90" s="370"/>
      <c r="G90" s="370"/>
      <c r="H90" s="370"/>
      <c r="I90" s="16">
        <f>I85</f>
        <v>0</v>
      </c>
      <c r="J90" s="48"/>
    </row>
    <row r="91" spans="1:10" x14ac:dyDescent="0.2">
      <c r="A91" s="125" t="s">
        <v>46</v>
      </c>
      <c r="B91" s="370" t="s">
        <v>195</v>
      </c>
      <c r="C91" s="370"/>
      <c r="D91" s="370"/>
      <c r="E91" s="370"/>
      <c r="F91" s="370"/>
      <c r="G91" s="370"/>
      <c r="H91" s="370"/>
      <c r="I91" s="16">
        <f>(H81*H46)*I89</f>
        <v>2.9338727451750009</v>
      </c>
      <c r="J91" s="48"/>
    </row>
    <row r="92" spans="1:10" x14ac:dyDescent="0.2">
      <c r="A92" s="389" t="s">
        <v>79</v>
      </c>
      <c r="B92" s="389"/>
      <c r="C92" s="389"/>
      <c r="D92" s="389"/>
      <c r="E92" s="389"/>
      <c r="F92" s="389"/>
      <c r="G92" s="389"/>
      <c r="H92" s="389"/>
      <c r="I92" s="13">
        <f>(SUM(I89:I90))</f>
        <v>93.847500000000011</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59">
        <v>5</v>
      </c>
      <c r="B95" s="389" t="s">
        <v>81</v>
      </c>
      <c r="C95" s="389"/>
      <c r="D95" s="389"/>
      <c r="E95" s="389"/>
      <c r="F95" s="389"/>
      <c r="G95" s="389"/>
      <c r="H95" s="59"/>
      <c r="I95" s="59" t="s">
        <v>22</v>
      </c>
      <c r="J95" s="48"/>
    </row>
    <row r="96" spans="1:10" x14ac:dyDescent="0.2">
      <c r="A96" s="59" t="s">
        <v>1</v>
      </c>
      <c r="B96" s="393" t="s">
        <v>82</v>
      </c>
      <c r="C96" s="393"/>
      <c r="D96" s="393"/>
      <c r="E96" s="393"/>
      <c r="F96" s="393"/>
      <c r="G96" s="393"/>
      <c r="H96" s="62" t="s">
        <v>50</v>
      </c>
      <c r="I96" s="66">
        <f>UNIFORME!F10</f>
        <v>28.666666666666668</v>
      </c>
      <c r="J96" s="48"/>
    </row>
    <row r="97" spans="1:13" x14ac:dyDescent="0.2">
      <c r="A97" s="59" t="s">
        <v>3</v>
      </c>
      <c r="B97" s="393" t="s">
        <v>83</v>
      </c>
      <c r="C97" s="393"/>
      <c r="D97" s="393"/>
      <c r="E97" s="393"/>
      <c r="F97" s="393"/>
      <c r="G97" s="393"/>
      <c r="H97" s="62" t="s">
        <v>50</v>
      </c>
      <c r="I97" s="16">
        <f>MATERIAL!H104</f>
        <v>1296.4523297491039</v>
      </c>
      <c r="J97" s="48"/>
      <c r="K97" s="51">
        <f>I97*94</f>
        <v>121866.51899641576</v>
      </c>
    </row>
    <row r="98" spans="1:13" x14ac:dyDescent="0.2">
      <c r="A98" s="21" t="s">
        <v>5</v>
      </c>
      <c r="B98" s="393" t="s">
        <v>84</v>
      </c>
      <c r="C98" s="393"/>
      <c r="D98" s="393"/>
      <c r="E98" s="393"/>
      <c r="F98" s="393"/>
      <c r="G98" s="393"/>
      <c r="H98" s="62" t="s">
        <v>50</v>
      </c>
      <c r="I98" s="16">
        <f>MATERIAL!I123</f>
        <v>30.513888888888889</v>
      </c>
      <c r="J98" s="48"/>
      <c r="K98" s="51">
        <f>I98*94</f>
        <v>2868.3055555555557</v>
      </c>
    </row>
    <row r="99" spans="1:13" x14ac:dyDescent="0.2">
      <c r="A99" s="21" t="s">
        <v>7</v>
      </c>
      <c r="B99" s="393" t="s">
        <v>435</v>
      </c>
      <c r="C99" s="393"/>
      <c r="D99" s="393"/>
      <c r="E99" s="393"/>
      <c r="F99" s="393"/>
      <c r="G99" s="393"/>
      <c r="H99" s="62" t="s">
        <v>50</v>
      </c>
      <c r="I99" s="16">
        <f>MATERIAL!H59</f>
        <v>20.76595744680851</v>
      </c>
      <c r="J99" s="48"/>
    </row>
    <row r="100" spans="1:13" x14ac:dyDescent="0.2">
      <c r="A100" s="389" t="s">
        <v>85</v>
      </c>
      <c r="B100" s="389"/>
      <c r="C100" s="389"/>
      <c r="D100" s="389"/>
      <c r="E100" s="389"/>
      <c r="F100" s="389"/>
      <c r="G100" s="389"/>
      <c r="H100" s="12" t="s">
        <v>50</v>
      </c>
      <c r="I100" s="13">
        <f>(SUM(I96:I99))</f>
        <v>1376.398842751468</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59">
        <v>6</v>
      </c>
      <c r="B103" s="389" t="s">
        <v>87</v>
      </c>
      <c r="C103" s="389"/>
      <c r="D103" s="389"/>
      <c r="E103" s="389"/>
      <c r="F103" s="389"/>
      <c r="G103" s="389"/>
      <c r="H103" s="59" t="s">
        <v>21</v>
      </c>
      <c r="I103" s="59" t="s">
        <v>22</v>
      </c>
      <c r="J103" s="48"/>
      <c r="K103" s="52">
        <f>'ANEXO VII'!M57</f>
        <v>197.15170301310718</v>
      </c>
    </row>
    <row r="104" spans="1:13" x14ac:dyDescent="0.2">
      <c r="A104" s="59" t="s">
        <v>1</v>
      </c>
      <c r="B104" s="373" t="s">
        <v>88</v>
      </c>
      <c r="C104" s="373"/>
      <c r="D104" s="373"/>
      <c r="E104" s="373"/>
      <c r="F104" s="373"/>
      <c r="G104" s="373"/>
      <c r="H104" s="22">
        <v>5.21E-2</v>
      </c>
      <c r="I104" s="16">
        <f>I120*H104</f>
        <v>187.48208426772646</v>
      </c>
      <c r="J104" s="48"/>
      <c r="M104" s="52"/>
    </row>
    <row r="105" spans="1:13" x14ac:dyDescent="0.2">
      <c r="A105" s="59" t="s">
        <v>3</v>
      </c>
      <c r="B105" s="373" t="s">
        <v>89</v>
      </c>
      <c r="C105" s="373"/>
      <c r="D105" s="373"/>
      <c r="E105" s="373"/>
      <c r="F105" s="373"/>
      <c r="G105" s="373"/>
      <c r="H105" s="22">
        <v>0.05</v>
      </c>
      <c r="I105" s="16">
        <f>(I120+I104)*H105</f>
        <v>189.29932903845972</v>
      </c>
      <c r="J105" s="48"/>
    </row>
    <row r="106" spans="1:13" x14ac:dyDescent="0.2">
      <c r="A106" s="59" t="s">
        <v>5</v>
      </c>
      <c r="B106" s="392" t="s">
        <v>90</v>
      </c>
      <c r="C106" s="392"/>
      <c r="D106" s="392"/>
      <c r="E106" s="392"/>
      <c r="F106" s="392"/>
      <c r="G106" s="392"/>
      <c r="H106" s="23">
        <f>H107+H108+H109</f>
        <v>8.6499999999999994E-2</v>
      </c>
      <c r="I106" s="24"/>
      <c r="J106" s="48"/>
    </row>
    <row r="107" spans="1:13" x14ac:dyDescent="0.2">
      <c r="A107" s="59" t="s">
        <v>91</v>
      </c>
      <c r="B107" s="373" t="s">
        <v>92</v>
      </c>
      <c r="C107" s="373"/>
      <c r="D107" s="373"/>
      <c r="E107" s="373"/>
      <c r="F107" s="373"/>
      <c r="G107" s="373"/>
      <c r="H107" s="25">
        <v>6.4999999999999997E-3</v>
      </c>
      <c r="I107" s="16">
        <f>K110*H107</f>
        <v>28.286106637930761</v>
      </c>
      <c r="J107" s="48"/>
      <c r="K107" s="65">
        <f>1-H106</f>
        <v>0.91349999999999998</v>
      </c>
    </row>
    <row r="108" spans="1:13" x14ac:dyDescent="0.2">
      <c r="A108" s="59" t="s">
        <v>93</v>
      </c>
      <c r="B108" s="373" t="s">
        <v>94</v>
      </c>
      <c r="C108" s="373"/>
      <c r="D108" s="373"/>
      <c r="E108" s="373"/>
      <c r="F108" s="373"/>
      <c r="G108" s="373"/>
      <c r="H108" s="25">
        <v>0.03</v>
      </c>
      <c r="I108" s="16">
        <f>K110*H108</f>
        <v>130.55126140583428</v>
      </c>
      <c r="J108" s="48"/>
      <c r="K108" s="45">
        <f>K107/1</f>
        <v>0.91349999999999998</v>
      </c>
    </row>
    <row r="109" spans="1:13" x14ac:dyDescent="0.2">
      <c r="A109" s="59" t="s">
        <v>95</v>
      </c>
      <c r="B109" s="373" t="s">
        <v>96</v>
      </c>
      <c r="C109" s="373"/>
      <c r="D109" s="373"/>
      <c r="E109" s="373"/>
      <c r="F109" s="373"/>
      <c r="G109" s="373"/>
      <c r="H109" s="26">
        <v>0.05</v>
      </c>
      <c r="I109" s="16">
        <f>K110*H109</f>
        <v>217.58543567639049</v>
      </c>
      <c r="J109" s="48"/>
      <c r="K109" s="20">
        <f>I120+I104+I105</f>
        <v>3975.2859098076538</v>
      </c>
    </row>
    <row r="110" spans="1:13" x14ac:dyDescent="0.2">
      <c r="A110" s="389" t="s">
        <v>97</v>
      </c>
      <c r="B110" s="389"/>
      <c r="C110" s="389"/>
      <c r="D110" s="389"/>
      <c r="E110" s="389"/>
      <c r="F110" s="389"/>
      <c r="G110" s="389"/>
      <c r="H110" s="25">
        <f>SUM(H104+H105+H106)</f>
        <v>0.18859999999999999</v>
      </c>
      <c r="I110" s="13">
        <f>(SUM(I104:I109))</f>
        <v>753.20421702634167</v>
      </c>
      <c r="J110" s="48"/>
      <c r="K110" s="20">
        <f>K109/K108</f>
        <v>4351.7087135278098</v>
      </c>
    </row>
    <row r="111" spans="1:13" x14ac:dyDescent="0.2">
      <c r="A111" s="57"/>
      <c r="B111" s="390"/>
      <c r="C111" s="390"/>
      <c r="D111" s="390"/>
      <c r="E111" s="390"/>
      <c r="F111" s="390"/>
      <c r="G111" s="390"/>
      <c r="H111" s="390"/>
      <c r="I111" s="390"/>
    </row>
    <row r="112" spans="1:13" x14ac:dyDescent="0.2">
      <c r="A112" s="57"/>
      <c r="B112" s="57"/>
      <c r="C112" s="57"/>
      <c r="D112" s="57"/>
      <c r="E112" s="57"/>
      <c r="F112" s="57"/>
      <c r="G112" s="57"/>
      <c r="H112" s="57"/>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59" t="s">
        <v>22</v>
      </c>
    </row>
    <row r="115" spans="1:12" x14ac:dyDescent="0.2">
      <c r="A115" s="62" t="s">
        <v>1</v>
      </c>
      <c r="B115" s="373" t="str">
        <f>A19</f>
        <v>MÓDULO 1 - COMPOSIÇÃO DA REMUNERAÇÃO</v>
      </c>
      <c r="C115" s="373"/>
      <c r="D115" s="373"/>
      <c r="E115" s="373"/>
      <c r="F115" s="373"/>
      <c r="G115" s="373"/>
      <c r="H115" s="373"/>
      <c r="I115" s="16">
        <f>I28</f>
        <v>1075</v>
      </c>
      <c r="K115" s="20"/>
      <c r="L115" s="53"/>
    </row>
    <row r="116" spans="1:12" x14ac:dyDescent="0.2">
      <c r="A116" s="62" t="s">
        <v>3</v>
      </c>
      <c r="B116" s="373" t="str">
        <f>A30</f>
        <v>MÓDULO 2 – ENCARGOS E BENEFÍCIOS ANUAIS, MENSAIS E DIÁRIOS</v>
      </c>
      <c r="C116" s="373"/>
      <c r="D116" s="373"/>
      <c r="E116" s="373"/>
      <c r="F116" s="373"/>
      <c r="G116" s="373"/>
      <c r="H116" s="373"/>
      <c r="I116" s="16">
        <f>I61</f>
        <v>985.65877824999995</v>
      </c>
    </row>
    <row r="117" spans="1:12" x14ac:dyDescent="0.2">
      <c r="A117" s="62" t="s">
        <v>5</v>
      </c>
      <c r="B117" s="373" t="str">
        <f>A63</f>
        <v>MÓDULO 3 – PROVISÃO PARA RESCISÃO</v>
      </c>
      <c r="C117" s="373"/>
      <c r="D117" s="373"/>
      <c r="E117" s="373"/>
      <c r="F117" s="373"/>
      <c r="G117" s="373"/>
      <c r="H117" s="373"/>
      <c r="I117" s="16">
        <f>I71</f>
        <v>67.599375500000008</v>
      </c>
    </row>
    <row r="118" spans="1:12" x14ac:dyDescent="0.2">
      <c r="A118" s="62" t="s">
        <v>7</v>
      </c>
      <c r="B118" s="373" t="str">
        <f>A73</f>
        <v>MÓDULO 4 – CUSTO DE REPOSIÇÃO DO PROFISSIONAL AUSENTE</v>
      </c>
      <c r="C118" s="373"/>
      <c r="D118" s="373"/>
      <c r="E118" s="373"/>
      <c r="F118" s="373"/>
      <c r="G118" s="373"/>
      <c r="H118" s="373"/>
      <c r="I118" s="16">
        <f>I92</f>
        <v>93.847500000000011</v>
      </c>
    </row>
    <row r="119" spans="1:12" x14ac:dyDescent="0.2">
      <c r="A119" s="62" t="s">
        <v>27</v>
      </c>
      <c r="B119" s="373" t="str">
        <f>A94</f>
        <v>MÓDULO 5 – INSUMOS DIVERSOS</v>
      </c>
      <c r="C119" s="373"/>
      <c r="D119" s="373"/>
      <c r="E119" s="373"/>
      <c r="F119" s="373"/>
      <c r="G119" s="373"/>
      <c r="H119" s="373"/>
      <c r="I119" s="16">
        <f>I100</f>
        <v>1376.398842751468</v>
      </c>
    </row>
    <row r="120" spans="1:12" x14ac:dyDescent="0.2">
      <c r="A120" s="59"/>
      <c r="B120" s="389" t="s">
        <v>100</v>
      </c>
      <c r="C120" s="389"/>
      <c r="D120" s="389"/>
      <c r="E120" s="389"/>
      <c r="F120" s="389"/>
      <c r="G120" s="389"/>
      <c r="H120" s="389"/>
      <c r="I120" s="13">
        <f>(SUM(I115:I119))</f>
        <v>3598.5044965014677</v>
      </c>
    </row>
    <row r="121" spans="1:12" x14ac:dyDescent="0.2">
      <c r="A121" s="62" t="s">
        <v>29</v>
      </c>
      <c r="B121" s="373" t="str">
        <f>A102</f>
        <v>MÓDULO 6 – CUSTOS INDIRETOS, TRIBUTOS E LUCRO</v>
      </c>
      <c r="C121" s="373"/>
      <c r="D121" s="373"/>
      <c r="E121" s="373"/>
      <c r="F121" s="373"/>
      <c r="G121" s="373"/>
      <c r="H121" s="373"/>
      <c r="I121" s="5">
        <f>I110</f>
        <v>753.20421702634167</v>
      </c>
    </row>
    <row r="122" spans="1:12" x14ac:dyDescent="0.2">
      <c r="A122" s="389" t="s">
        <v>101</v>
      </c>
      <c r="B122" s="389"/>
      <c r="C122" s="389"/>
      <c r="D122" s="389"/>
      <c r="E122" s="389"/>
      <c r="F122" s="389"/>
      <c r="G122" s="389"/>
      <c r="H122" s="389"/>
      <c r="I122" s="13">
        <f>(SUM(I120:I121))</f>
        <v>4351.7087135278089</v>
      </c>
      <c r="K122" s="51"/>
    </row>
    <row r="123" spans="1:12" ht="11.25" customHeight="1" x14ac:dyDescent="0.2">
      <c r="I123" s="20"/>
      <c r="K123" s="51"/>
    </row>
    <row r="124" spans="1:12" ht="13.5" hidden="1" thickBot="1" x14ac:dyDescent="0.25">
      <c r="A124" s="57"/>
      <c r="B124" s="379" t="s">
        <v>102</v>
      </c>
      <c r="C124" s="379"/>
      <c r="D124" s="379"/>
      <c r="E124" s="379"/>
      <c r="F124" s="379"/>
      <c r="G124" s="379"/>
      <c r="H124" s="8"/>
      <c r="I124" s="8"/>
      <c r="K124" s="51"/>
    </row>
    <row r="125" spans="1:12" ht="64.5" hidden="1" customHeight="1" thickBot="1" x14ac:dyDescent="0.25">
      <c r="A125" s="385" t="s">
        <v>103</v>
      </c>
      <c r="B125" s="385"/>
      <c r="C125" s="385" t="s">
        <v>104</v>
      </c>
      <c r="D125" s="385"/>
      <c r="E125" s="385" t="s">
        <v>105</v>
      </c>
      <c r="F125" s="385"/>
      <c r="G125" s="28" t="s">
        <v>106</v>
      </c>
      <c r="H125" s="60" t="s">
        <v>107</v>
      </c>
      <c r="I125" s="58"/>
      <c r="K125" s="51"/>
    </row>
    <row r="126" spans="1:12" hidden="1" x14ac:dyDescent="0.2">
      <c r="A126" s="386" t="s">
        <v>108</v>
      </c>
      <c r="B126" s="386"/>
      <c r="C126" s="387" t="s">
        <v>109</v>
      </c>
      <c r="D126" s="387"/>
      <c r="E126" s="388"/>
      <c r="F126" s="388"/>
      <c r="G126" s="29" t="s">
        <v>109</v>
      </c>
      <c r="H126" s="30"/>
      <c r="I126" s="31"/>
      <c r="K126" s="51"/>
    </row>
    <row r="127" spans="1:12" hidden="1" x14ac:dyDescent="0.2">
      <c r="A127" s="381" t="s">
        <v>110</v>
      </c>
      <c r="B127" s="381"/>
      <c r="C127" s="382" t="s">
        <v>109</v>
      </c>
      <c r="D127" s="382"/>
      <c r="E127" s="383"/>
      <c r="F127" s="383"/>
      <c r="G127" s="32" t="s">
        <v>109</v>
      </c>
      <c r="H127" s="33"/>
      <c r="I127" s="34"/>
      <c r="K127" s="51"/>
    </row>
    <row r="128" spans="1:12" hidden="1" x14ac:dyDescent="0.2">
      <c r="A128" s="381" t="s">
        <v>111</v>
      </c>
      <c r="B128" s="381"/>
      <c r="C128" s="382" t="s">
        <v>109</v>
      </c>
      <c r="D128" s="382"/>
      <c r="E128" s="383"/>
      <c r="F128" s="383"/>
      <c r="G128" s="32" t="s">
        <v>109</v>
      </c>
      <c r="H128" s="33"/>
      <c r="I128" s="34"/>
      <c r="K128" s="51"/>
    </row>
    <row r="129" spans="1:11" hidden="1" x14ac:dyDescent="0.2">
      <c r="A129" s="381" t="s">
        <v>112</v>
      </c>
      <c r="B129" s="381"/>
      <c r="C129" s="382" t="s">
        <v>109</v>
      </c>
      <c r="D129" s="382"/>
      <c r="E129" s="383"/>
      <c r="F129" s="383"/>
      <c r="G129" s="32" t="s">
        <v>109</v>
      </c>
      <c r="H129" s="33"/>
      <c r="I129" s="34"/>
      <c r="K129" s="51"/>
    </row>
    <row r="130" spans="1:11" hidden="1" x14ac:dyDescent="0.2">
      <c r="A130" s="384"/>
      <c r="B130" s="384"/>
      <c r="C130" s="383"/>
      <c r="D130" s="383"/>
      <c r="E130" s="383"/>
      <c r="F130" s="383"/>
      <c r="G130" s="35"/>
      <c r="H130" s="36"/>
      <c r="I130" s="34"/>
      <c r="K130" s="51"/>
    </row>
    <row r="131" spans="1:11" ht="13.5" hidden="1" thickBot="1" x14ac:dyDescent="0.25">
      <c r="A131" s="376"/>
      <c r="B131" s="376"/>
      <c r="C131" s="377"/>
      <c r="D131" s="377"/>
      <c r="E131" s="377"/>
      <c r="F131" s="377"/>
      <c r="G131" s="37"/>
      <c r="H131" s="38"/>
      <c r="I131" s="39"/>
      <c r="K131" s="51"/>
    </row>
    <row r="132" spans="1:11" ht="13.5" hidden="1" thickBot="1" x14ac:dyDescent="0.25">
      <c r="A132" s="378" t="s">
        <v>113</v>
      </c>
      <c r="B132" s="378"/>
      <c r="C132" s="378"/>
      <c r="D132" s="378"/>
      <c r="E132" s="378"/>
      <c r="F132" s="378"/>
      <c r="G132" s="378"/>
      <c r="H132" s="378"/>
      <c r="I132" s="40"/>
      <c r="K132" s="51"/>
    </row>
    <row r="133" spans="1:11" x14ac:dyDescent="0.2">
      <c r="I133" s="20"/>
    </row>
    <row r="134" spans="1:11" hidden="1" x14ac:dyDescent="0.2">
      <c r="A134" s="57"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56"/>
      <c r="B136" s="371" t="s">
        <v>117</v>
      </c>
      <c r="C136" s="371"/>
      <c r="D136" s="371"/>
      <c r="E136" s="371"/>
      <c r="F136" s="371"/>
      <c r="G136" s="371"/>
      <c r="H136" s="371"/>
      <c r="I136" s="58" t="s">
        <v>22</v>
      </c>
    </row>
    <row r="137" spans="1:11" hidden="1" x14ac:dyDescent="0.2">
      <c r="A137" s="41" t="s">
        <v>1</v>
      </c>
      <c r="B137" s="372" t="s">
        <v>118</v>
      </c>
      <c r="C137" s="372"/>
      <c r="D137" s="372"/>
      <c r="E137" s="372"/>
      <c r="F137" s="372"/>
      <c r="G137" s="372"/>
      <c r="H137" s="372"/>
      <c r="I137" s="42">
        <f>I107</f>
        <v>28.286106637930761</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753.20421702634167</v>
      </c>
    </row>
    <row r="140" spans="1:11" ht="13.5" hidden="1" thickBot="1" x14ac:dyDescent="0.25">
      <c r="A140" s="375" t="s">
        <v>121</v>
      </c>
      <c r="B140" s="375"/>
      <c r="C140" s="375"/>
      <c r="D140" s="375"/>
      <c r="E140" s="375"/>
      <c r="F140" s="375"/>
      <c r="G140" s="375"/>
      <c r="H140" s="375"/>
      <c r="I140" s="40" t="e">
        <f>SUM(I137:I139)</f>
        <v>#REF!</v>
      </c>
    </row>
    <row r="141" spans="1:11" hidden="1" x14ac:dyDescent="0.2">
      <c r="A141" s="57" t="s">
        <v>122</v>
      </c>
      <c r="B141" s="45" t="s">
        <v>123</v>
      </c>
    </row>
    <row r="144" spans="1:11" ht="15.75" thickBot="1" x14ac:dyDescent="0.25">
      <c r="A144" s="195" t="s">
        <v>242</v>
      </c>
      <c r="B144" s="195"/>
      <c r="C144" s="195"/>
      <c r="D144" s="195"/>
      <c r="E144" s="195"/>
      <c r="F144" s="195"/>
      <c r="G144" s="195"/>
      <c r="H144" s="195"/>
    </row>
    <row r="145" spans="1:8" ht="15" x14ac:dyDescent="0.2">
      <c r="A145" s="419" t="s">
        <v>243</v>
      </c>
      <c r="B145" s="420"/>
      <c r="C145" s="421"/>
      <c r="D145" s="196" t="s">
        <v>244</v>
      </c>
      <c r="E145" s="419" t="s">
        <v>245</v>
      </c>
      <c r="F145" s="421"/>
      <c r="G145" s="419" t="s">
        <v>246</v>
      </c>
      <c r="H145" s="421"/>
    </row>
    <row r="146" spans="1:8" ht="15.75" thickBot="1" x14ac:dyDescent="0.25">
      <c r="A146" s="197"/>
      <c r="B146" s="198"/>
      <c r="C146" s="199"/>
      <c r="D146" s="200" t="s">
        <v>247</v>
      </c>
      <c r="E146" s="422" t="s">
        <v>248</v>
      </c>
      <c r="F146" s="423"/>
      <c r="G146" s="422" t="s">
        <v>249</v>
      </c>
      <c r="H146" s="423"/>
    </row>
    <row r="147" spans="1:8" ht="15.75" thickBot="1" x14ac:dyDescent="0.25">
      <c r="A147" s="201" t="s">
        <v>134</v>
      </c>
      <c r="B147" s="202"/>
      <c r="C147" s="202"/>
      <c r="D147" s="203">
        <f>1/(30*1000)</f>
        <v>3.3333333333333335E-5</v>
      </c>
      <c r="E147" s="424">
        <v>0</v>
      </c>
      <c r="F147" s="425"/>
      <c r="G147" s="426">
        <f>D147*E147</f>
        <v>0</v>
      </c>
      <c r="H147" s="427"/>
    </row>
    <row r="148" spans="1:8" ht="15.75" thickBot="1" x14ac:dyDescent="0.25">
      <c r="A148" s="204" t="s">
        <v>140</v>
      </c>
      <c r="B148" s="205"/>
      <c r="C148" s="205"/>
      <c r="D148" s="206">
        <f>1/1000</f>
        <v>1E-3</v>
      </c>
      <c r="E148" s="428">
        <f>I122</f>
        <v>4351.7087135278089</v>
      </c>
      <c r="F148" s="418"/>
      <c r="G148" s="426">
        <f>D148*E148</f>
        <v>4.3517087135278087</v>
      </c>
      <c r="H148" s="427"/>
    </row>
    <row r="149" spans="1:8" ht="15.75" thickBot="1" x14ac:dyDescent="0.25">
      <c r="A149" s="417" t="s">
        <v>250</v>
      </c>
      <c r="B149" s="418"/>
      <c r="C149" s="418"/>
      <c r="D149" s="418"/>
      <c r="E149" s="418"/>
      <c r="F149" s="418"/>
      <c r="G149" s="204"/>
      <c r="H149" s="207">
        <f>SUM(G147:H148)</f>
        <v>4.3517087135278087</v>
      </c>
    </row>
  </sheetData>
  <mergeCells count="181">
    <mergeCell ref="A149:F149"/>
    <mergeCell ref="A145:C145"/>
    <mergeCell ref="E145:F145"/>
    <mergeCell ref="G145:H145"/>
    <mergeCell ref="E146:F146"/>
    <mergeCell ref="G146:H146"/>
    <mergeCell ref="E147:F147"/>
    <mergeCell ref="G147:H147"/>
    <mergeCell ref="E148:F148"/>
    <mergeCell ref="G148:H148"/>
    <mergeCell ref="K7:S7"/>
    <mergeCell ref="A8:I8"/>
    <mergeCell ref="K8:S8"/>
    <mergeCell ref="K2:S2"/>
    <mergeCell ref="B3:H3"/>
    <mergeCell ref="L3:M3"/>
    <mergeCell ref="N3:Q3"/>
    <mergeCell ref="R3:S3"/>
    <mergeCell ref="B4:H4"/>
    <mergeCell ref="L4:M4"/>
    <mergeCell ref="N4:Q4"/>
    <mergeCell ref="R4:S4"/>
    <mergeCell ref="A2:I2"/>
    <mergeCell ref="B5:H5"/>
    <mergeCell ref="K5:S5"/>
    <mergeCell ref="B6:H6"/>
    <mergeCell ref="K6:S6"/>
    <mergeCell ref="A9:B9"/>
    <mergeCell ref="C9:D9"/>
    <mergeCell ref="E9:I9"/>
    <mergeCell ref="L9:Q9"/>
    <mergeCell ref="R9:S9"/>
    <mergeCell ref="A10:B10"/>
    <mergeCell ref="C10:D10"/>
    <mergeCell ref="E10:I10"/>
    <mergeCell ref="L10:Q10"/>
    <mergeCell ref="R10:S10"/>
    <mergeCell ref="B14:H14"/>
    <mergeCell ref="B15:H15"/>
    <mergeCell ref="B16:H16"/>
    <mergeCell ref="B17:H17"/>
    <mergeCell ref="A18:I18"/>
    <mergeCell ref="A19:I19"/>
    <mergeCell ref="L11:Q11"/>
    <mergeCell ref="R11:S11"/>
    <mergeCell ref="A12:I12"/>
    <mergeCell ref="L12:Q12"/>
    <mergeCell ref="R12:S12"/>
    <mergeCell ref="B13:H13"/>
    <mergeCell ref="B26:G26"/>
    <mergeCell ref="B27:G27"/>
    <mergeCell ref="A28:H28"/>
    <mergeCell ref="A30:I30"/>
    <mergeCell ref="A31:G31"/>
    <mergeCell ref="B32:G32"/>
    <mergeCell ref="B20:G20"/>
    <mergeCell ref="B21:G21"/>
    <mergeCell ref="B22:G22"/>
    <mergeCell ref="B23:G23"/>
    <mergeCell ref="B24:G24"/>
    <mergeCell ref="B25:G25"/>
    <mergeCell ref="B33:G33"/>
    <mergeCell ref="A35:G35"/>
    <mergeCell ref="A36:I36"/>
    <mergeCell ref="A37:G37"/>
    <mergeCell ref="K37:K45"/>
    <mergeCell ref="B38:G38"/>
    <mergeCell ref="B39:G39"/>
    <mergeCell ref="B40:G40"/>
    <mergeCell ref="B41:G41"/>
    <mergeCell ref="B42:G42"/>
    <mergeCell ref="B34:G34"/>
    <mergeCell ref="B49:G49"/>
    <mergeCell ref="B50:G50"/>
    <mergeCell ref="B51:G51"/>
    <mergeCell ref="B52:G52"/>
    <mergeCell ref="B53:G53"/>
    <mergeCell ref="A54:H54"/>
    <mergeCell ref="B43:G43"/>
    <mergeCell ref="B44:G44"/>
    <mergeCell ref="B45:G45"/>
    <mergeCell ref="A46:G46"/>
    <mergeCell ref="A47:I47"/>
    <mergeCell ref="A48:G48"/>
    <mergeCell ref="A61:H61"/>
    <mergeCell ref="A62:I62"/>
    <mergeCell ref="A63:I63"/>
    <mergeCell ref="B64:G64"/>
    <mergeCell ref="B65:G65"/>
    <mergeCell ref="B66:G66"/>
    <mergeCell ref="A55:I55"/>
    <mergeCell ref="A56:I56"/>
    <mergeCell ref="A57:H57"/>
    <mergeCell ref="B58:H58"/>
    <mergeCell ref="B59:H59"/>
    <mergeCell ref="B60:H60"/>
    <mergeCell ref="A73:I73"/>
    <mergeCell ref="A74:G74"/>
    <mergeCell ref="B75:G75"/>
    <mergeCell ref="B76:G76"/>
    <mergeCell ref="B77:G77"/>
    <mergeCell ref="B78:G78"/>
    <mergeCell ref="B67:G67"/>
    <mergeCell ref="B68:G68"/>
    <mergeCell ref="B69:G69"/>
    <mergeCell ref="B70:G70"/>
    <mergeCell ref="A71:G71"/>
    <mergeCell ref="A72:I72"/>
    <mergeCell ref="A85:G85"/>
    <mergeCell ref="A86:I86"/>
    <mergeCell ref="A87:I87"/>
    <mergeCell ref="A88:H88"/>
    <mergeCell ref="B89:H89"/>
    <mergeCell ref="B90:H90"/>
    <mergeCell ref="B79:G79"/>
    <mergeCell ref="B80:G80"/>
    <mergeCell ref="A81:G81"/>
    <mergeCell ref="A82:I82"/>
    <mergeCell ref="A83:G83"/>
    <mergeCell ref="B84:G84"/>
    <mergeCell ref="B98:G98"/>
    <mergeCell ref="B99:G99"/>
    <mergeCell ref="A100:G100"/>
    <mergeCell ref="A101:I101"/>
    <mergeCell ref="A102:I102"/>
    <mergeCell ref="B103:G103"/>
    <mergeCell ref="A92:H92"/>
    <mergeCell ref="A93:I93"/>
    <mergeCell ref="A94:I94"/>
    <mergeCell ref="B95:G95"/>
    <mergeCell ref="B96:G96"/>
    <mergeCell ref="B97:G97"/>
    <mergeCell ref="A110:G110"/>
    <mergeCell ref="B111:I111"/>
    <mergeCell ref="A113:I113"/>
    <mergeCell ref="A114:H114"/>
    <mergeCell ref="B115:H115"/>
    <mergeCell ref="B116:H116"/>
    <mergeCell ref="B104:G104"/>
    <mergeCell ref="B105:G105"/>
    <mergeCell ref="B106:G106"/>
    <mergeCell ref="B107:G107"/>
    <mergeCell ref="B108:G108"/>
    <mergeCell ref="B109:G109"/>
    <mergeCell ref="B124:G124"/>
    <mergeCell ref="A125:B125"/>
    <mergeCell ref="C125:D125"/>
    <mergeCell ref="E125:F125"/>
    <mergeCell ref="A126:B126"/>
    <mergeCell ref="C126:D126"/>
    <mergeCell ref="E126:F126"/>
    <mergeCell ref="B117:H117"/>
    <mergeCell ref="B118:H118"/>
    <mergeCell ref="B119:H119"/>
    <mergeCell ref="B120:H120"/>
    <mergeCell ref="B121:H121"/>
    <mergeCell ref="A122:H122"/>
    <mergeCell ref="B91:H91"/>
    <mergeCell ref="B136:H136"/>
    <mergeCell ref="B137:H137"/>
    <mergeCell ref="B138:H138"/>
    <mergeCell ref="B139:H139"/>
    <mergeCell ref="A140:H140"/>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27:B127"/>
    <mergeCell ref="C127:D127"/>
    <mergeCell ref="E127:F127"/>
    <mergeCell ref="A128:B128"/>
    <mergeCell ref="C128:D128"/>
    <mergeCell ref="E128:F128"/>
  </mergeCells>
  <pageMargins left="0.25" right="0.25" top="0.75" bottom="0.75" header="0.3" footer="0.3"/>
  <pageSetup paperSize="9" firstPageNumber="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047C1-E502-4593-AAD1-4E6200BBFDF0}">
  <sheetPr>
    <tabColor rgb="FF7030A0"/>
  </sheetPr>
  <dimension ref="A2:S149"/>
  <sheetViews>
    <sheetView tabSelected="1" topLeftCell="A65" zoomScale="118" zoomScaleNormal="118" workbookViewId="0">
      <selection activeCell="I104" sqref="I104"/>
    </sheetView>
  </sheetViews>
  <sheetFormatPr defaultColWidth="9.140625" defaultRowHeight="12.75" x14ac:dyDescent="0.2"/>
  <cols>
    <col min="1" max="1" width="20.7109375" style="45" customWidth="1"/>
    <col min="2" max="2" width="23.7109375" style="45" customWidth="1"/>
    <col min="3" max="3" width="9.140625" style="45"/>
    <col min="4" max="4" width="14.28515625" style="45" customWidth="1"/>
    <col min="5" max="5" width="16.5703125" style="45" customWidth="1"/>
    <col min="6" max="6" width="10.42578125" style="45" bestFit="1" customWidth="1"/>
    <col min="7"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340" t="s">
        <v>1</v>
      </c>
      <c r="B3" s="373" t="s">
        <v>2</v>
      </c>
      <c r="C3" s="373"/>
      <c r="D3" s="373"/>
      <c r="E3" s="373"/>
      <c r="F3" s="373"/>
      <c r="G3" s="373"/>
      <c r="H3" s="373"/>
      <c r="I3" s="1">
        <v>44182</v>
      </c>
      <c r="K3" s="347"/>
      <c r="L3" s="410"/>
      <c r="M3" s="410"/>
      <c r="N3" s="410"/>
      <c r="O3" s="410"/>
      <c r="P3" s="410"/>
      <c r="Q3" s="410"/>
      <c r="R3" s="416"/>
      <c r="S3" s="416"/>
    </row>
    <row r="4" spans="1:19" x14ac:dyDescent="0.2">
      <c r="A4" s="340" t="s">
        <v>3</v>
      </c>
      <c r="B4" s="373" t="s">
        <v>4</v>
      </c>
      <c r="C4" s="373"/>
      <c r="D4" s="373"/>
      <c r="E4" s="373"/>
      <c r="F4" s="373"/>
      <c r="G4" s="373"/>
      <c r="H4" s="373"/>
      <c r="I4" s="340" t="s">
        <v>183</v>
      </c>
      <c r="K4" s="347"/>
      <c r="L4" s="407"/>
      <c r="M4" s="407"/>
      <c r="N4" s="410"/>
      <c r="O4" s="410"/>
      <c r="P4" s="410"/>
      <c r="Q4" s="410"/>
      <c r="R4" s="410"/>
      <c r="S4" s="410"/>
    </row>
    <row r="5" spans="1:19" x14ac:dyDescent="0.2">
      <c r="A5" s="340" t="s">
        <v>5</v>
      </c>
      <c r="B5" s="373" t="s">
        <v>6</v>
      </c>
      <c r="C5" s="373"/>
      <c r="D5" s="373"/>
      <c r="E5" s="373"/>
      <c r="F5" s="373"/>
      <c r="G5" s="373"/>
      <c r="H5" s="373"/>
      <c r="I5" s="340">
        <v>2020</v>
      </c>
      <c r="K5" s="414"/>
      <c r="L5" s="414"/>
      <c r="M5" s="414"/>
      <c r="N5" s="414"/>
      <c r="O5" s="414"/>
      <c r="P5" s="414"/>
      <c r="Q5" s="414"/>
      <c r="R5" s="414"/>
      <c r="S5" s="414"/>
    </row>
    <row r="6" spans="1:19" x14ac:dyDescent="0.2">
      <c r="A6" s="340" t="s">
        <v>7</v>
      </c>
      <c r="B6" s="373" t="s">
        <v>8</v>
      </c>
      <c r="C6" s="373"/>
      <c r="D6" s="373"/>
      <c r="E6" s="373"/>
      <c r="F6" s="373"/>
      <c r="G6" s="373"/>
      <c r="H6" s="373"/>
      <c r="I6" s="340">
        <v>12</v>
      </c>
      <c r="K6" s="414"/>
      <c r="L6" s="414"/>
      <c r="M6" s="414"/>
      <c r="N6" s="414"/>
      <c r="O6" s="414"/>
      <c r="P6" s="414"/>
      <c r="Q6" s="414"/>
      <c r="R6" s="414"/>
      <c r="S6" s="414"/>
    </row>
    <row r="7" spans="1:19" x14ac:dyDescent="0.2">
      <c r="A7" s="342"/>
      <c r="B7" s="346"/>
      <c r="C7" s="346"/>
      <c r="D7" s="346"/>
      <c r="E7" s="346"/>
      <c r="F7" s="346"/>
      <c r="G7" s="346"/>
      <c r="H7" s="342"/>
      <c r="I7" s="342"/>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347"/>
      <c r="L9" s="406"/>
      <c r="M9" s="406"/>
      <c r="N9" s="406"/>
      <c r="O9" s="406"/>
      <c r="P9" s="406"/>
      <c r="Q9" s="406"/>
      <c r="R9" s="410"/>
      <c r="S9" s="410"/>
    </row>
    <row r="10" spans="1:19" ht="27" customHeight="1" x14ac:dyDescent="0.2">
      <c r="A10" s="411" t="s">
        <v>129</v>
      </c>
      <c r="B10" s="411"/>
      <c r="C10" s="370"/>
      <c r="D10" s="370"/>
      <c r="E10" s="412">
        <v>1</v>
      </c>
      <c r="F10" s="412"/>
      <c r="G10" s="412"/>
      <c r="H10" s="412"/>
      <c r="I10" s="412"/>
      <c r="K10" s="348"/>
      <c r="L10" s="408"/>
      <c r="M10" s="408"/>
      <c r="N10" s="408"/>
      <c r="O10" s="408"/>
      <c r="P10" s="408"/>
      <c r="Q10" s="408"/>
      <c r="R10" s="413"/>
      <c r="S10" s="413"/>
    </row>
    <row r="11" spans="1:19" x14ac:dyDescent="0.2">
      <c r="A11" s="342"/>
      <c r="B11" s="346"/>
      <c r="C11" s="346"/>
      <c r="D11" s="346"/>
      <c r="E11" s="346"/>
      <c r="F11" s="346"/>
      <c r="G11" s="346"/>
      <c r="H11" s="342"/>
      <c r="I11" s="342"/>
      <c r="K11" s="347"/>
      <c r="L11" s="406"/>
      <c r="M11" s="406"/>
      <c r="N11" s="406"/>
      <c r="O11" s="406"/>
      <c r="P11" s="406"/>
      <c r="Q11" s="406"/>
      <c r="R11" s="407"/>
      <c r="S11" s="407"/>
    </row>
    <row r="12" spans="1:19" x14ac:dyDescent="0.2">
      <c r="A12" s="395" t="s">
        <v>13</v>
      </c>
      <c r="B12" s="395"/>
      <c r="C12" s="395"/>
      <c r="D12" s="395"/>
      <c r="E12" s="395"/>
      <c r="F12" s="395"/>
      <c r="G12" s="395"/>
      <c r="H12" s="395"/>
      <c r="I12" s="395"/>
      <c r="K12" s="348"/>
      <c r="L12" s="408"/>
      <c r="M12" s="408"/>
      <c r="N12" s="408"/>
      <c r="O12" s="408"/>
      <c r="P12" s="408"/>
      <c r="Q12" s="408"/>
      <c r="R12" s="409"/>
      <c r="S12" s="409"/>
    </row>
    <row r="13" spans="1:19" x14ac:dyDescent="0.2">
      <c r="A13" s="340">
        <v>1</v>
      </c>
      <c r="B13" s="373" t="s">
        <v>14</v>
      </c>
      <c r="C13" s="373"/>
      <c r="D13" s="373"/>
      <c r="E13" s="373"/>
      <c r="F13" s="373"/>
      <c r="G13" s="373"/>
      <c r="H13" s="373"/>
      <c r="I13" s="50" t="s">
        <v>184</v>
      </c>
      <c r="K13" s="2"/>
      <c r="L13" s="2"/>
      <c r="M13" s="2"/>
      <c r="N13" s="2"/>
      <c r="O13" s="2"/>
      <c r="P13" s="2"/>
      <c r="Q13" s="2"/>
      <c r="R13" s="2"/>
      <c r="S13" s="2"/>
    </row>
    <row r="14" spans="1:19" x14ac:dyDescent="0.2">
      <c r="A14" s="340">
        <v>2</v>
      </c>
      <c r="B14" s="373" t="s">
        <v>15</v>
      </c>
      <c r="C14" s="373"/>
      <c r="D14" s="373"/>
      <c r="E14" s="373"/>
      <c r="F14" s="373"/>
      <c r="G14" s="373"/>
      <c r="H14" s="373"/>
      <c r="I14" s="340"/>
    </row>
    <row r="15" spans="1:19" x14ac:dyDescent="0.2">
      <c r="A15" s="340">
        <v>3</v>
      </c>
      <c r="B15" s="373" t="s">
        <v>16</v>
      </c>
      <c r="C15" s="373"/>
      <c r="D15" s="373"/>
      <c r="E15" s="373"/>
      <c r="F15" s="373"/>
      <c r="G15" s="373"/>
      <c r="H15" s="373"/>
      <c r="I15" s="3">
        <v>1075</v>
      </c>
    </row>
    <row r="16" spans="1:19" x14ac:dyDescent="0.2">
      <c r="A16" s="340">
        <v>4</v>
      </c>
      <c r="B16" s="373" t="s">
        <v>17</v>
      </c>
      <c r="C16" s="373"/>
      <c r="D16" s="373"/>
      <c r="E16" s="373"/>
      <c r="F16" s="373"/>
      <c r="G16" s="373"/>
      <c r="H16" s="373"/>
      <c r="I16" s="1" t="str">
        <f>A10</f>
        <v>ASG</v>
      </c>
    </row>
    <row r="17" spans="1:12" x14ac:dyDescent="0.2">
      <c r="A17" s="340">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345">
        <v>1</v>
      </c>
      <c r="B20" s="389" t="s">
        <v>20</v>
      </c>
      <c r="C20" s="389"/>
      <c r="D20" s="389"/>
      <c r="E20" s="389"/>
      <c r="F20" s="389"/>
      <c r="G20" s="389"/>
      <c r="H20" s="345" t="s">
        <v>21</v>
      </c>
      <c r="I20" s="345" t="s">
        <v>22</v>
      </c>
    </row>
    <row r="21" spans="1:12" x14ac:dyDescent="0.2">
      <c r="A21" s="345" t="s">
        <v>1</v>
      </c>
      <c r="B21" s="373" t="s">
        <v>23</v>
      </c>
      <c r="C21" s="373"/>
      <c r="D21" s="373"/>
      <c r="E21" s="373"/>
      <c r="F21" s="373"/>
      <c r="G21" s="373"/>
      <c r="H21" s="4"/>
      <c r="I21" s="5">
        <f>I15</f>
        <v>1075</v>
      </c>
      <c r="L21" s="20">
        <f>I35+I46+I71+I81</f>
        <v>850.32678449999992</v>
      </c>
    </row>
    <row r="22" spans="1:12" x14ac:dyDescent="0.2">
      <c r="A22" s="345" t="s">
        <v>3</v>
      </c>
      <c r="B22" s="373" t="s">
        <v>24</v>
      </c>
      <c r="C22" s="373"/>
      <c r="D22" s="373"/>
      <c r="E22" s="373"/>
      <c r="F22" s="373"/>
      <c r="G22" s="373"/>
      <c r="H22" s="6"/>
      <c r="I22" s="5">
        <v>0</v>
      </c>
      <c r="L22" s="53">
        <f>L21/I28</f>
        <v>0.65916804999999989</v>
      </c>
    </row>
    <row r="23" spans="1:12" x14ac:dyDescent="0.2">
      <c r="A23" s="345" t="s">
        <v>5</v>
      </c>
      <c r="B23" s="373" t="s">
        <v>25</v>
      </c>
      <c r="C23" s="373"/>
      <c r="D23" s="373"/>
      <c r="E23" s="373"/>
      <c r="F23" s="373"/>
      <c r="G23" s="373"/>
      <c r="H23" s="6">
        <v>0.2</v>
      </c>
      <c r="I23" s="5">
        <f>I21*H23</f>
        <v>215</v>
      </c>
    </row>
    <row r="24" spans="1:12" x14ac:dyDescent="0.2">
      <c r="A24" s="345" t="s">
        <v>7</v>
      </c>
      <c r="B24" s="373" t="s">
        <v>26</v>
      </c>
      <c r="C24" s="373"/>
      <c r="D24" s="373"/>
      <c r="E24" s="373"/>
      <c r="F24" s="373"/>
      <c r="G24" s="373"/>
      <c r="H24" s="6"/>
      <c r="I24" s="5">
        <v>0</v>
      </c>
    </row>
    <row r="25" spans="1:12" x14ac:dyDescent="0.2">
      <c r="A25" s="345" t="s">
        <v>27</v>
      </c>
      <c r="B25" s="373" t="s">
        <v>28</v>
      </c>
      <c r="C25" s="373"/>
      <c r="D25" s="373"/>
      <c r="E25" s="373"/>
      <c r="F25" s="373"/>
      <c r="G25" s="373"/>
      <c r="H25" s="6"/>
      <c r="I25" s="5">
        <v>0</v>
      </c>
    </row>
    <row r="26" spans="1:12" x14ac:dyDescent="0.2">
      <c r="A26" s="345" t="s">
        <v>29</v>
      </c>
      <c r="B26" s="373" t="s">
        <v>30</v>
      </c>
      <c r="C26" s="373"/>
      <c r="D26" s="373"/>
      <c r="E26" s="373"/>
      <c r="F26" s="373"/>
      <c r="G26" s="373"/>
      <c r="H26" s="6"/>
      <c r="I26" s="5">
        <v>0</v>
      </c>
    </row>
    <row r="27" spans="1:12" x14ac:dyDescent="0.2">
      <c r="A27" s="345"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1290</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345" t="s">
        <v>21</v>
      </c>
      <c r="I31" s="345" t="s">
        <v>22</v>
      </c>
      <c r="J31" s="48"/>
    </row>
    <row r="32" spans="1:12" x14ac:dyDescent="0.2">
      <c r="A32" s="345" t="s">
        <v>1</v>
      </c>
      <c r="B32" s="373" t="s">
        <v>36</v>
      </c>
      <c r="C32" s="373"/>
      <c r="D32" s="373"/>
      <c r="E32" s="373"/>
      <c r="F32" s="373"/>
      <c r="G32" s="373"/>
      <c r="H32" s="10">
        <v>8.3299999999999999E-2</v>
      </c>
      <c r="I32" s="5">
        <f>$I$28*H32</f>
        <v>107.45699999999999</v>
      </c>
      <c r="J32" s="48"/>
    </row>
    <row r="33" spans="1:11" x14ac:dyDescent="0.2">
      <c r="A33" s="345" t="s">
        <v>3</v>
      </c>
      <c r="B33" s="373" t="s">
        <v>185</v>
      </c>
      <c r="C33" s="373"/>
      <c r="D33" s="373"/>
      <c r="E33" s="373"/>
      <c r="F33" s="373"/>
      <c r="G33" s="373"/>
      <c r="H33" s="11">
        <v>2.7799999999999998E-2</v>
      </c>
      <c r="I33" s="5">
        <f>H33*I28</f>
        <v>35.861999999999995</v>
      </c>
      <c r="J33" s="48"/>
    </row>
    <row r="34" spans="1:11" x14ac:dyDescent="0.2">
      <c r="A34" s="345" t="s">
        <v>132</v>
      </c>
      <c r="B34" s="373" t="s">
        <v>133</v>
      </c>
      <c r="C34" s="373"/>
      <c r="D34" s="373"/>
      <c r="E34" s="373"/>
      <c r="F34" s="373"/>
      <c r="G34" s="373"/>
      <c r="H34" s="11">
        <f>(H32+H33)*H46</f>
        <v>3.9784910000000007E-2</v>
      </c>
      <c r="I34" s="5">
        <f>I28*H34</f>
        <v>51.32253390000001</v>
      </c>
      <c r="J34" s="48"/>
    </row>
    <row r="35" spans="1:11" x14ac:dyDescent="0.2">
      <c r="A35" s="389" t="s">
        <v>37</v>
      </c>
      <c r="B35" s="389"/>
      <c r="C35" s="389"/>
      <c r="D35" s="389"/>
      <c r="E35" s="389"/>
      <c r="F35" s="389"/>
      <c r="G35" s="389"/>
      <c r="H35" s="12">
        <f>TRUNC(SUM(H32:H33),4)</f>
        <v>0.1111</v>
      </c>
      <c r="I35" s="13">
        <f>SUM(I32:I34)</f>
        <v>194.64153390000001</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345" t="s">
        <v>21</v>
      </c>
      <c r="I37" s="345" t="s">
        <v>22</v>
      </c>
      <c r="J37" s="48"/>
      <c r="K37" s="404"/>
    </row>
    <row r="38" spans="1:11" x14ac:dyDescent="0.2">
      <c r="A38" s="345" t="s">
        <v>1</v>
      </c>
      <c r="B38" s="373" t="s">
        <v>39</v>
      </c>
      <c r="C38" s="373"/>
      <c r="D38" s="373"/>
      <c r="E38" s="373"/>
      <c r="F38" s="373"/>
      <c r="G38" s="373"/>
      <c r="H38" s="10">
        <v>0.2</v>
      </c>
      <c r="I38" s="5">
        <f>($I$28)*H38</f>
        <v>258</v>
      </c>
      <c r="J38" s="48"/>
      <c r="K38" s="404"/>
    </row>
    <row r="39" spans="1:11" x14ac:dyDescent="0.2">
      <c r="A39" s="345" t="s">
        <v>3</v>
      </c>
      <c r="B39" s="373" t="s">
        <v>40</v>
      </c>
      <c r="C39" s="373"/>
      <c r="D39" s="373"/>
      <c r="E39" s="373"/>
      <c r="F39" s="373"/>
      <c r="G39" s="373"/>
      <c r="H39" s="10">
        <v>2.5000000000000001E-2</v>
      </c>
      <c r="I39" s="5">
        <f t="shared" ref="I39:I45" si="0">($I$28)*H39</f>
        <v>32.25</v>
      </c>
      <c r="J39" s="48"/>
      <c r="K39" s="404"/>
    </row>
    <row r="40" spans="1:11" x14ac:dyDescent="0.2">
      <c r="A40" s="345" t="s">
        <v>5</v>
      </c>
      <c r="B40" s="373" t="s">
        <v>41</v>
      </c>
      <c r="C40" s="373"/>
      <c r="D40" s="373"/>
      <c r="E40" s="373"/>
      <c r="F40" s="373"/>
      <c r="G40" s="373"/>
      <c r="H40" s="10">
        <v>2.01E-2</v>
      </c>
      <c r="I40" s="5">
        <f t="shared" si="0"/>
        <v>25.928999999999998</v>
      </c>
      <c r="J40" s="48"/>
      <c r="K40" s="404"/>
    </row>
    <row r="41" spans="1:11" x14ac:dyDescent="0.2">
      <c r="A41" s="345" t="s">
        <v>7</v>
      </c>
      <c r="B41" s="373" t="s">
        <v>42</v>
      </c>
      <c r="C41" s="373"/>
      <c r="D41" s="373"/>
      <c r="E41" s="373"/>
      <c r="F41" s="373"/>
      <c r="G41" s="373"/>
      <c r="H41" s="10">
        <v>1.4999999999999999E-2</v>
      </c>
      <c r="I41" s="5">
        <f t="shared" si="0"/>
        <v>19.349999999999998</v>
      </c>
      <c r="J41" s="48"/>
      <c r="K41" s="404"/>
    </row>
    <row r="42" spans="1:11" x14ac:dyDescent="0.2">
      <c r="A42" s="345" t="s">
        <v>27</v>
      </c>
      <c r="B42" s="373" t="s">
        <v>43</v>
      </c>
      <c r="C42" s="373"/>
      <c r="D42" s="373"/>
      <c r="E42" s="373"/>
      <c r="F42" s="373"/>
      <c r="G42" s="373"/>
      <c r="H42" s="10">
        <v>0.01</v>
      </c>
      <c r="I42" s="5">
        <f t="shared" si="0"/>
        <v>12.9</v>
      </c>
      <c r="J42" s="48"/>
      <c r="K42" s="404"/>
    </row>
    <row r="43" spans="1:11" x14ac:dyDescent="0.2">
      <c r="A43" s="345" t="s">
        <v>29</v>
      </c>
      <c r="B43" s="373" t="s">
        <v>44</v>
      </c>
      <c r="C43" s="373"/>
      <c r="D43" s="373"/>
      <c r="E43" s="373"/>
      <c r="F43" s="373"/>
      <c r="G43" s="373"/>
      <c r="H43" s="10">
        <v>6.0000000000000001E-3</v>
      </c>
      <c r="I43" s="5">
        <f t="shared" si="0"/>
        <v>7.74</v>
      </c>
      <c r="J43" s="48"/>
      <c r="K43" s="404"/>
    </row>
    <row r="44" spans="1:11" x14ac:dyDescent="0.2">
      <c r="A44" s="345" t="s">
        <v>31</v>
      </c>
      <c r="B44" s="373" t="s">
        <v>45</v>
      </c>
      <c r="C44" s="373"/>
      <c r="D44" s="373"/>
      <c r="E44" s="373"/>
      <c r="F44" s="373"/>
      <c r="G44" s="373"/>
      <c r="H44" s="10">
        <v>2E-3</v>
      </c>
      <c r="I44" s="5">
        <f t="shared" si="0"/>
        <v>2.58</v>
      </c>
      <c r="J44" s="48"/>
      <c r="K44" s="404"/>
    </row>
    <row r="45" spans="1:11" x14ac:dyDescent="0.2">
      <c r="A45" s="345" t="s">
        <v>46</v>
      </c>
      <c r="B45" s="373" t="s">
        <v>47</v>
      </c>
      <c r="C45" s="373"/>
      <c r="D45" s="373"/>
      <c r="E45" s="373"/>
      <c r="F45" s="373"/>
      <c r="G45" s="373"/>
      <c r="H45" s="10">
        <v>0.08</v>
      </c>
      <c r="I45" s="5">
        <f t="shared" si="0"/>
        <v>103.2</v>
      </c>
      <c r="J45" s="48"/>
      <c r="K45" s="404"/>
    </row>
    <row r="46" spans="1:11" x14ac:dyDescent="0.2">
      <c r="A46" s="389" t="s">
        <v>48</v>
      </c>
      <c r="B46" s="389"/>
      <c r="C46" s="389"/>
      <c r="D46" s="389"/>
      <c r="E46" s="389"/>
      <c r="F46" s="389"/>
      <c r="G46" s="389"/>
      <c r="H46" s="12">
        <f>SUM(H38:H45)</f>
        <v>0.35810000000000003</v>
      </c>
      <c r="I46" s="13">
        <f>(SUM(I38:I45))</f>
        <v>461.94899999999996</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345" t="s">
        <v>22</v>
      </c>
      <c r="J48" s="48"/>
    </row>
    <row r="49" spans="1:10" x14ac:dyDescent="0.2">
      <c r="A49" s="345" t="s">
        <v>1</v>
      </c>
      <c r="B49" s="393" t="s">
        <v>125</v>
      </c>
      <c r="C49" s="393"/>
      <c r="D49" s="393"/>
      <c r="E49" s="393"/>
      <c r="F49" s="393"/>
      <c r="G49" s="393"/>
      <c r="H49" s="55">
        <v>0</v>
      </c>
      <c r="I49" s="14">
        <v>0</v>
      </c>
      <c r="J49" s="48"/>
    </row>
    <row r="50" spans="1:10" x14ac:dyDescent="0.2">
      <c r="A50" s="345" t="s">
        <v>3</v>
      </c>
      <c r="B50" s="393" t="s">
        <v>124</v>
      </c>
      <c r="C50" s="393"/>
      <c r="D50" s="393"/>
      <c r="E50" s="393"/>
      <c r="F50" s="393"/>
      <c r="G50" s="393"/>
      <c r="H50" s="55">
        <v>418</v>
      </c>
      <c r="I50" s="15">
        <f>H50*0.8</f>
        <v>334.40000000000003</v>
      </c>
      <c r="J50" s="49"/>
    </row>
    <row r="51" spans="1:10" x14ac:dyDescent="0.2">
      <c r="A51" s="345" t="s">
        <v>5</v>
      </c>
      <c r="B51" s="393" t="s">
        <v>126</v>
      </c>
      <c r="C51" s="393"/>
      <c r="D51" s="393"/>
      <c r="E51" s="393"/>
      <c r="F51" s="393"/>
      <c r="G51" s="393"/>
      <c r="H51" s="55">
        <v>0</v>
      </c>
      <c r="I51" s="14">
        <f>H51</f>
        <v>0</v>
      </c>
      <c r="J51" s="48"/>
    </row>
    <row r="52" spans="1:10" x14ac:dyDescent="0.2">
      <c r="A52" s="345" t="s">
        <v>7</v>
      </c>
      <c r="B52" s="397" t="s">
        <v>127</v>
      </c>
      <c r="C52" s="398"/>
      <c r="D52" s="398"/>
      <c r="E52" s="398"/>
      <c r="F52" s="398"/>
      <c r="G52" s="399"/>
      <c r="H52" s="55">
        <v>0</v>
      </c>
      <c r="I52" s="14">
        <f>H52</f>
        <v>0</v>
      </c>
      <c r="J52" s="48"/>
    </row>
    <row r="53" spans="1:10" x14ac:dyDescent="0.2">
      <c r="A53" s="345"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342.40000000000003</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345" t="s">
        <v>22</v>
      </c>
      <c r="J57" s="48"/>
    </row>
    <row r="58" spans="1:10" x14ac:dyDescent="0.2">
      <c r="A58" s="345" t="s">
        <v>54</v>
      </c>
      <c r="B58" s="370" t="s">
        <v>55</v>
      </c>
      <c r="C58" s="370"/>
      <c r="D58" s="370"/>
      <c r="E58" s="370"/>
      <c r="F58" s="370"/>
      <c r="G58" s="370"/>
      <c r="H58" s="370"/>
      <c r="I58" s="16">
        <f>I35</f>
        <v>194.64153390000001</v>
      </c>
      <c r="J58" s="48"/>
    </row>
    <row r="59" spans="1:10" x14ac:dyDescent="0.2">
      <c r="A59" s="345" t="s">
        <v>56</v>
      </c>
      <c r="B59" s="370" t="s">
        <v>57</v>
      </c>
      <c r="C59" s="370"/>
      <c r="D59" s="370"/>
      <c r="E59" s="370"/>
      <c r="F59" s="370"/>
      <c r="G59" s="370"/>
      <c r="H59" s="370"/>
      <c r="I59" s="16">
        <f>I46</f>
        <v>461.94899999999996</v>
      </c>
      <c r="J59" s="48"/>
    </row>
    <row r="60" spans="1:10" x14ac:dyDescent="0.2">
      <c r="A60" s="345" t="s">
        <v>58</v>
      </c>
      <c r="B60" s="370" t="s">
        <v>59</v>
      </c>
      <c r="C60" s="370"/>
      <c r="D60" s="370"/>
      <c r="E60" s="370"/>
      <c r="F60" s="370"/>
      <c r="G60" s="370"/>
      <c r="H60" s="370"/>
      <c r="I60" s="16">
        <f>I54</f>
        <v>342.40000000000003</v>
      </c>
      <c r="J60" s="48"/>
    </row>
    <row r="61" spans="1:10" x14ac:dyDescent="0.2">
      <c r="A61" s="389" t="s">
        <v>60</v>
      </c>
      <c r="B61" s="389"/>
      <c r="C61" s="389"/>
      <c r="D61" s="389"/>
      <c r="E61" s="389"/>
      <c r="F61" s="389"/>
      <c r="G61" s="389"/>
      <c r="H61" s="389"/>
      <c r="I61" s="13">
        <f>(SUM(I58:I60))</f>
        <v>998.99053389999995</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345">
        <v>3</v>
      </c>
      <c r="B64" s="389" t="s">
        <v>62</v>
      </c>
      <c r="C64" s="389"/>
      <c r="D64" s="389"/>
      <c r="E64" s="389"/>
      <c r="F64" s="389"/>
      <c r="G64" s="389"/>
      <c r="H64" s="345" t="s">
        <v>21</v>
      </c>
      <c r="I64" s="345" t="s">
        <v>22</v>
      </c>
      <c r="J64" s="48"/>
    </row>
    <row r="65" spans="1:11" x14ac:dyDescent="0.2">
      <c r="A65" s="345" t="s">
        <v>1</v>
      </c>
      <c r="B65" s="373" t="s">
        <v>63</v>
      </c>
      <c r="C65" s="373"/>
      <c r="D65" s="373"/>
      <c r="E65" s="373"/>
      <c r="F65" s="373"/>
      <c r="G65" s="373"/>
      <c r="H65" s="17">
        <v>4.1999999999999997E-3</v>
      </c>
      <c r="I65" s="16">
        <f>$I$28*H65</f>
        <v>5.4179999999999993</v>
      </c>
      <c r="J65" s="48"/>
    </row>
    <row r="66" spans="1:11" x14ac:dyDescent="0.2">
      <c r="A66" s="345" t="s">
        <v>3</v>
      </c>
      <c r="B66" s="373" t="s">
        <v>64</v>
      </c>
      <c r="C66" s="373"/>
      <c r="D66" s="373"/>
      <c r="E66" s="373"/>
      <c r="F66" s="373"/>
      <c r="G66" s="373"/>
      <c r="H66" s="17">
        <f>H45*H65</f>
        <v>3.3599999999999998E-4</v>
      </c>
      <c r="I66" s="5">
        <f>H66*I28</f>
        <v>0.43343999999999999</v>
      </c>
      <c r="J66" s="48"/>
    </row>
    <row r="67" spans="1:11" x14ac:dyDescent="0.2">
      <c r="A67" s="345" t="s">
        <v>5</v>
      </c>
      <c r="B67" s="373" t="s">
        <v>65</v>
      </c>
      <c r="C67" s="373"/>
      <c r="D67" s="373"/>
      <c r="E67" s="373"/>
      <c r="F67" s="373"/>
      <c r="G67" s="373"/>
      <c r="H67" s="18">
        <v>0.01</v>
      </c>
      <c r="I67" s="5">
        <f>$I$28*H67</f>
        <v>12.9</v>
      </c>
      <c r="J67" s="48"/>
    </row>
    <row r="68" spans="1:11" x14ac:dyDescent="0.2">
      <c r="A68" s="345" t="s">
        <v>7</v>
      </c>
      <c r="B68" s="373" t="s">
        <v>66</v>
      </c>
      <c r="C68" s="373"/>
      <c r="D68" s="373"/>
      <c r="E68" s="373"/>
      <c r="F68" s="373"/>
      <c r="G68" s="373"/>
      <c r="H68" s="46">
        <v>1.9400000000000001E-2</v>
      </c>
      <c r="I68" s="5">
        <f>$I$28*H68</f>
        <v>25.026</v>
      </c>
      <c r="J68" s="48"/>
    </row>
    <row r="69" spans="1:11" x14ac:dyDescent="0.2">
      <c r="A69" s="345" t="s">
        <v>27</v>
      </c>
      <c r="B69" s="373" t="s">
        <v>67</v>
      </c>
      <c r="C69" s="373"/>
      <c r="D69" s="373"/>
      <c r="E69" s="373"/>
      <c r="F69" s="373"/>
      <c r="G69" s="373"/>
      <c r="H69" s="19">
        <f>H46*H68</f>
        <v>6.947140000000001E-3</v>
      </c>
      <c r="I69" s="5">
        <f>$I$28*H69</f>
        <v>8.9618106000000015</v>
      </c>
      <c r="J69" s="48"/>
    </row>
    <row r="70" spans="1:11" x14ac:dyDescent="0.2">
      <c r="A70" s="345" t="s">
        <v>29</v>
      </c>
      <c r="B70" s="373" t="s">
        <v>68</v>
      </c>
      <c r="C70" s="373"/>
      <c r="D70" s="373"/>
      <c r="E70" s="373"/>
      <c r="F70" s="373"/>
      <c r="G70" s="373"/>
      <c r="H70" s="54">
        <v>2.1999999999999999E-2</v>
      </c>
      <c r="I70" s="5">
        <f>$I$28*H70</f>
        <v>28.38</v>
      </c>
      <c r="J70" s="48"/>
      <c r="K70" s="20"/>
    </row>
    <row r="71" spans="1:11" x14ac:dyDescent="0.2">
      <c r="A71" s="389" t="s">
        <v>69</v>
      </c>
      <c r="B71" s="389"/>
      <c r="C71" s="389"/>
      <c r="D71" s="389"/>
      <c r="E71" s="389"/>
      <c r="F71" s="389"/>
      <c r="G71" s="389"/>
      <c r="H71" s="12">
        <f>TRUNC(SUM(H65:H70),4)</f>
        <v>6.2799999999999995E-2</v>
      </c>
      <c r="I71" s="13">
        <f>(SUM(I65:I70))</f>
        <v>81.119250600000001</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345" t="s">
        <v>21</v>
      </c>
      <c r="I74" s="345" t="s">
        <v>22</v>
      </c>
      <c r="J74" s="48"/>
    </row>
    <row r="75" spans="1:11" x14ac:dyDescent="0.2">
      <c r="A75" s="345" t="s">
        <v>1</v>
      </c>
      <c r="B75" s="373" t="s">
        <v>186</v>
      </c>
      <c r="C75" s="373"/>
      <c r="D75" s="373"/>
      <c r="E75" s="373"/>
      <c r="F75" s="373"/>
      <c r="G75" s="373"/>
      <c r="H75" s="148">
        <v>8.3299999999999999E-2</v>
      </c>
      <c r="I75" s="5">
        <f t="shared" ref="I75:I80" si="1">$I$28*H75</f>
        <v>107.45699999999999</v>
      </c>
      <c r="J75" s="48"/>
    </row>
    <row r="76" spans="1:11" x14ac:dyDescent="0.2">
      <c r="A76" s="345" t="s">
        <v>3</v>
      </c>
      <c r="B76" s="373" t="s">
        <v>187</v>
      </c>
      <c r="C76" s="373"/>
      <c r="D76" s="373"/>
      <c r="E76" s="373"/>
      <c r="F76" s="373"/>
      <c r="G76" s="373"/>
      <c r="H76" s="148">
        <v>2.8E-3</v>
      </c>
      <c r="I76" s="16">
        <f t="shared" si="1"/>
        <v>3.6120000000000001</v>
      </c>
      <c r="J76" s="48"/>
    </row>
    <row r="77" spans="1:11" x14ac:dyDescent="0.2">
      <c r="A77" s="345" t="s">
        <v>5</v>
      </c>
      <c r="B77" s="373" t="s">
        <v>188</v>
      </c>
      <c r="C77" s="373"/>
      <c r="D77" s="373"/>
      <c r="E77" s="373"/>
      <c r="F77" s="373"/>
      <c r="G77" s="373"/>
      <c r="H77" s="17">
        <v>2.0000000000000001E-4</v>
      </c>
      <c r="I77" s="16">
        <f t="shared" si="1"/>
        <v>0.25800000000000001</v>
      </c>
      <c r="J77" s="48"/>
    </row>
    <row r="78" spans="1:11" x14ac:dyDescent="0.2">
      <c r="A78" s="345" t="s">
        <v>7</v>
      </c>
      <c r="B78" s="373" t="s">
        <v>189</v>
      </c>
      <c r="C78" s="373"/>
      <c r="D78" s="373"/>
      <c r="E78" s="373"/>
      <c r="F78" s="373"/>
      <c r="G78" s="373"/>
      <c r="H78" s="148">
        <v>2.9999999999999997E-4</v>
      </c>
      <c r="I78" s="16">
        <f t="shared" si="1"/>
        <v>0.38699999999999996</v>
      </c>
      <c r="J78" s="48"/>
    </row>
    <row r="79" spans="1:11" x14ac:dyDescent="0.2">
      <c r="A79" s="345" t="s">
        <v>27</v>
      </c>
      <c r="B79" s="373" t="s">
        <v>190</v>
      </c>
      <c r="C79" s="373"/>
      <c r="D79" s="373"/>
      <c r="E79" s="373"/>
      <c r="F79" s="373"/>
      <c r="G79" s="373"/>
      <c r="H79" s="17">
        <v>6.9999999999999999E-4</v>
      </c>
      <c r="I79" s="16">
        <f t="shared" si="1"/>
        <v>0.90300000000000002</v>
      </c>
      <c r="J79" s="48"/>
    </row>
    <row r="80" spans="1:11" x14ac:dyDescent="0.2">
      <c r="A80" s="345"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112.61699999999999</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345" t="s">
        <v>21</v>
      </c>
      <c r="I83" s="345" t="s">
        <v>22</v>
      </c>
      <c r="J83" s="48"/>
    </row>
    <row r="84" spans="1:10" x14ac:dyDescent="0.2">
      <c r="A84" s="345"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345" t="s">
        <v>22</v>
      </c>
      <c r="J88" s="48"/>
    </row>
    <row r="89" spans="1:10" x14ac:dyDescent="0.2">
      <c r="A89" s="345" t="s">
        <v>77</v>
      </c>
      <c r="B89" s="370" t="s">
        <v>193</v>
      </c>
      <c r="C89" s="370"/>
      <c r="D89" s="370"/>
      <c r="E89" s="370"/>
      <c r="F89" s="370"/>
      <c r="G89" s="370"/>
      <c r="H89" s="370"/>
      <c r="I89" s="16">
        <f>I81</f>
        <v>112.61699999999999</v>
      </c>
      <c r="J89" s="48"/>
    </row>
    <row r="90" spans="1:10" x14ac:dyDescent="0.2">
      <c r="A90" s="345" t="s">
        <v>78</v>
      </c>
      <c r="B90" s="370" t="s">
        <v>194</v>
      </c>
      <c r="C90" s="370"/>
      <c r="D90" s="370"/>
      <c r="E90" s="370"/>
      <c r="F90" s="370"/>
      <c r="G90" s="370"/>
      <c r="H90" s="370"/>
      <c r="I90" s="16">
        <f>I85</f>
        <v>0</v>
      </c>
      <c r="J90" s="48"/>
    </row>
    <row r="91" spans="1:10" x14ac:dyDescent="0.2">
      <c r="A91" s="345" t="s">
        <v>46</v>
      </c>
      <c r="B91" s="370" t="s">
        <v>195</v>
      </c>
      <c r="C91" s="370"/>
      <c r="D91" s="370"/>
      <c r="E91" s="370"/>
      <c r="F91" s="370"/>
      <c r="G91" s="370"/>
      <c r="H91" s="370"/>
      <c r="I91" s="16">
        <f>(H81*H46)*I89</f>
        <v>3.5206472942100002</v>
      </c>
      <c r="J91" s="48"/>
    </row>
    <row r="92" spans="1:10" x14ac:dyDescent="0.2">
      <c r="A92" s="389" t="s">
        <v>79</v>
      </c>
      <c r="B92" s="389"/>
      <c r="C92" s="389"/>
      <c r="D92" s="389"/>
      <c r="E92" s="389"/>
      <c r="F92" s="389"/>
      <c r="G92" s="389"/>
      <c r="H92" s="389"/>
      <c r="I92" s="13">
        <f>(SUM(I89:I90))</f>
        <v>112.61699999999999</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345">
        <v>5</v>
      </c>
      <c r="B95" s="389" t="s">
        <v>81</v>
      </c>
      <c r="C95" s="389"/>
      <c r="D95" s="389"/>
      <c r="E95" s="389"/>
      <c r="F95" s="389"/>
      <c r="G95" s="389"/>
      <c r="H95" s="345"/>
      <c r="I95" s="345" t="s">
        <v>22</v>
      </c>
      <c r="J95" s="48"/>
    </row>
    <row r="96" spans="1:10" x14ac:dyDescent="0.2">
      <c r="A96" s="345" t="s">
        <v>1</v>
      </c>
      <c r="B96" s="393" t="s">
        <v>82</v>
      </c>
      <c r="C96" s="393"/>
      <c r="D96" s="393"/>
      <c r="E96" s="393"/>
      <c r="F96" s="393"/>
      <c r="G96" s="393"/>
      <c r="H96" s="340" t="s">
        <v>50</v>
      </c>
      <c r="I96" s="66">
        <f>UNIFORME!F10</f>
        <v>28.666666666666668</v>
      </c>
      <c r="J96" s="48"/>
    </row>
    <row r="97" spans="1:13" x14ac:dyDescent="0.2">
      <c r="A97" s="345" t="s">
        <v>3</v>
      </c>
      <c r="B97" s="393" t="s">
        <v>83</v>
      </c>
      <c r="C97" s="393"/>
      <c r="D97" s="393"/>
      <c r="E97" s="393"/>
      <c r="F97" s="393"/>
      <c r="G97" s="393"/>
      <c r="H97" s="340" t="s">
        <v>50</v>
      </c>
      <c r="I97" s="16">
        <f>MATERIAL!H104</f>
        <v>1296.4523297491039</v>
      </c>
      <c r="J97" s="48"/>
    </row>
    <row r="98" spans="1:13" x14ac:dyDescent="0.2">
      <c r="A98" s="21" t="s">
        <v>5</v>
      </c>
      <c r="B98" s="393" t="s">
        <v>84</v>
      </c>
      <c r="C98" s="393"/>
      <c r="D98" s="393"/>
      <c r="E98" s="393"/>
      <c r="F98" s="393"/>
      <c r="G98" s="393"/>
      <c r="H98" s="340" t="s">
        <v>50</v>
      </c>
      <c r="I98" s="16">
        <f>MATERIAL!I123</f>
        <v>30.513888888888889</v>
      </c>
      <c r="J98" s="48"/>
    </row>
    <row r="99" spans="1:13" x14ac:dyDescent="0.2">
      <c r="A99" s="21" t="s">
        <v>7</v>
      </c>
      <c r="B99" s="393" t="s">
        <v>435</v>
      </c>
      <c r="C99" s="393"/>
      <c r="D99" s="393"/>
      <c r="E99" s="393"/>
      <c r="F99" s="393"/>
      <c r="G99" s="393"/>
      <c r="H99" s="340" t="s">
        <v>50</v>
      </c>
      <c r="I99" s="16">
        <f>MATERIAL!H59</f>
        <v>20.76595744680851</v>
      </c>
      <c r="J99" s="48"/>
    </row>
    <row r="100" spans="1:13" x14ac:dyDescent="0.2">
      <c r="A100" s="389" t="s">
        <v>85</v>
      </c>
      <c r="B100" s="389"/>
      <c r="C100" s="389"/>
      <c r="D100" s="389"/>
      <c r="E100" s="389"/>
      <c r="F100" s="389"/>
      <c r="G100" s="389"/>
      <c r="H100" s="12" t="s">
        <v>50</v>
      </c>
      <c r="I100" s="13">
        <f>(SUM(I96:I99))</f>
        <v>1376.398842751468</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345">
        <v>6</v>
      </c>
      <c r="B103" s="389" t="s">
        <v>87</v>
      </c>
      <c r="C103" s="389"/>
      <c r="D103" s="389"/>
      <c r="E103" s="389"/>
      <c r="F103" s="389"/>
      <c r="G103" s="389"/>
      <c r="H103" s="345" t="s">
        <v>21</v>
      </c>
      <c r="I103" s="345" t="s">
        <v>22</v>
      </c>
      <c r="J103" s="48"/>
      <c r="K103" s="52">
        <f>'ANEXO VII'!M57</f>
        <v>197.15170301310718</v>
      </c>
    </row>
    <row r="104" spans="1:13" x14ac:dyDescent="0.2">
      <c r="A104" s="345" t="s">
        <v>1</v>
      </c>
      <c r="B104" s="373" t="s">
        <v>88</v>
      </c>
      <c r="C104" s="373"/>
      <c r="D104" s="373"/>
      <c r="E104" s="373"/>
      <c r="F104" s="373"/>
      <c r="G104" s="373"/>
      <c r="H104" s="22">
        <v>5.21E-2</v>
      </c>
      <c r="I104" s="16">
        <f>I120*H104</f>
        <v>201.06044517980149</v>
      </c>
      <c r="J104" s="48"/>
      <c r="M104" s="52"/>
    </row>
    <row r="105" spans="1:13" x14ac:dyDescent="0.2">
      <c r="A105" s="345" t="s">
        <v>3</v>
      </c>
      <c r="B105" s="373" t="s">
        <v>89</v>
      </c>
      <c r="C105" s="373"/>
      <c r="D105" s="373"/>
      <c r="E105" s="373"/>
      <c r="F105" s="373"/>
      <c r="G105" s="373"/>
      <c r="H105" s="22">
        <v>0.05</v>
      </c>
      <c r="I105" s="16">
        <f>(I120+I104)*H105</f>
        <v>203.0093036215635</v>
      </c>
      <c r="J105" s="48"/>
    </row>
    <row r="106" spans="1:13" x14ac:dyDescent="0.2">
      <c r="A106" s="345" t="s">
        <v>5</v>
      </c>
      <c r="B106" s="392" t="s">
        <v>90</v>
      </c>
      <c r="C106" s="392"/>
      <c r="D106" s="392"/>
      <c r="E106" s="392"/>
      <c r="F106" s="392"/>
      <c r="G106" s="392"/>
      <c r="H106" s="23">
        <f>H107+H108+H109</f>
        <v>8.6499999999999994E-2</v>
      </c>
      <c r="I106" s="24"/>
      <c r="J106" s="48"/>
    </row>
    <row r="107" spans="1:13" x14ac:dyDescent="0.2">
      <c r="A107" s="345" t="s">
        <v>91</v>
      </c>
      <c r="B107" s="373" t="s">
        <v>92</v>
      </c>
      <c r="C107" s="373"/>
      <c r="D107" s="373"/>
      <c r="E107" s="373"/>
      <c r="F107" s="373"/>
      <c r="G107" s="373"/>
      <c r="H107" s="25">
        <v>6.4999999999999997E-3</v>
      </c>
      <c r="I107" s="16">
        <f>K110*H107</f>
        <v>30.33472352965892</v>
      </c>
      <c r="J107" s="48"/>
      <c r="K107" s="65">
        <f>1-H106</f>
        <v>0.91349999999999998</v>
      </c>
    </row>
    <row r="108" spans="1:13" x14ac:dyDescent="0.2">
      <c r="A108" s="345" t="s">
        <v>93</v>
      </c>
      <c r="B108" s="373" t="s">
        <v>94</v>
      </c>
      <c r="C108" s="373"/>
      <c r="D108" s="373"/>
      <c r="E108" s="373"/>
      <c r="F108" s="373"/>
      <c r="G108" s="373"/>
      <c r="H108" s="25">
        <v>0.03</v>
      </c>
      <c r="I108" s="16">
        <f>K110*H108</f>
        <v>140.00641629073348</v>
      </c>
      <c r="J108" s="48"/>
      <c r="K108" s="45">
        <f>K107/1</f>
        <v>0.91349999999999998</v>
      </c>
    </row>
    <row r="109" spans="1:13" x14ac:dyDescent="0.2">
      <c r="A109" s="345" t="s">
        <v>95</v>
      </c>
      <c r="B109" s="373" t="s">
        <v>96</v>
      </c>
      <c r="C109" s="373"/>
      <c r="D109" s="373"/>
      <c r="E109" s="373"/>
      <c r="F109" s="373"/>
      <c r="G109" s="373"/>
      <c r="H109" s="26">
        <v>0.05</v>
      </c>
      <c r="I109" s="16">
        <f>K110*H109</f>
        <v>233.34402715122246</v>
      </c>
      <c r="J109" s="48"/>
      <c r="K109" s="20">
        <f>I120+I104+I105</f>
        <v>4263.195376052834</v>
      </c>
    </row>
    <row r="110" spans="1:13" x14ac:dyDescent="0.2">
      <c r="A110" s="389" t="s">
        <v>97</v>
      </c>
      <c r="B110" s="389"/>
      <c r="C110" s="389"/>
      <c r="D110" s="389"/>
      <c r="E110" s="389"/>
      <c r="F110" s="389"/>
      <c r="G110" s="389"/>
      <c r="H110" s="25">
        <f>SUM(H104+H105+H106)</f>
        <v>0.18859999999999999</v>
      </c>
      <c r="I110" s="13">
        <f>(SUM(I104:I109))</f>
        <v>807.75491577297987</v>
      </c>
      <c r="J110" s="48"/>
      <c r="K110" s="20">
        <f>K109/K108</f>
        <v>4666.8805430244493</v>
      </c>
    </row>
    <row r="111" spans="1:13" x14ac:dyDescent="0.2">
      <c r="A111" s="342"/>
      <c r="B111" s="390"/>
      <c r="C111" s="390"/>
      <c r="D111" s="390"/>
      <c r="E111" s="390"/>
      <c r="F111" s="390"/>
      <c r="G111" s="390"/>
      <c r="H111" s="390"/>
      <c r="I111" s="390"/>
    </row>
    <row r="112" spans="1:13" x14ac:dyDescent="0.2">
      <c r="A112" s="342"/>
      <c r="B112" s="342"/>
      <c r="C112" s="342"/>
      <c r="D112" s="342"/>
      <c r="E112" s="342"/>
      <c r="F112" s="342"/>
      <c r="G112" s="342"/>
      <c r="H112" s="342"/>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345" t="s">
        <v>22</v>
      </c>
    </row>
    <row r="115" spans="1:12" x14ac:dyDescent="0.2">
      <c r="A115" s="340" t="s">
        <v>1</v>
      </c>
      <c r="B115" s="373" t="str">
        <f>A19</f>
        <v>MÓDULO 1 - COMPOSIÇÃO DA REMUNERAÇÃO</v>
      </c>
      <c r="C115" s="373"/>
      <c r="D115" s="373"/>
      <c r="E115" s="373"/>
      <c r="F115" s="373"/>
      <c r="G115" s="373"/>
      <c r="H115" s="373"/>
      <c r="I115" s="16">
        <f>I28</f>
        <v>1290</v>
      </c>
      <c r="K115" s="20"/>
      <c r="L115" s="53"/>
    </row>
    <row r="116" spans="1:12" x14ac:dyDescent="0.2">
      <c r="A116" s="340" t="s">
        <v>3</v>
      </c>
      <c r="B116" s="373" t="str">
        <f>A30</f>
        <v>MÓDULO 2 – ENCARGOS E BENEFÍCIOS ANUAIS, MENSAIS E DIÁRIOS</v>
      </c>
      <c r="C116" s="373"/>
      <c r="D116" s="373"/>
      <c r="E116" s="373"/>
      <c r="F116" s="373"/>
      <c r="G116" s="373"/>
      <c r="H116" s="373"/>
      <c r="I116" s="16">
        <f>I61</f>
        <v>998.99053389999995</v>
      </c>
    </row>
    <row r="117" spans="1:12" x14ac:dyDescent="0.2">
      <c r="A117" s="340" t="s">
        <v>5</v>
      </c>
      <c r="B117" s="373" t="str">
        <f>A63</f>
        <v>MÓDULO 3 – PROVISÃO PARA RESCISÃO</v>
      </c>
      <c r="C117" s="373"/>
      <c r="D117" s="373"/>
      <c r="E117" s="373"/>
      <c r="F117" s="373"/>
      <c r="G117" s="373"/>
      <c r="H117" s="373"/>
      <c r="I117" s="16">
        <f>I71</f>
        <v>81.119250600000001</v>
      </c>
    </row>
    <row r="118" spans="1:12" x14ac:dyDescent="0.2">
      <c r="A118" s="340" t="s">
        <v>7</v>
      </c>
      <c r="B118" s="373" t="str">
        <f>A73</f>
        <v>MÓDULO 4 – CUSTO DE REPOSIÇÃO DO PROFISSIONAL AUSENTE</v>
      </c>
      <c r="C118" s="373"/>
      <c r="D118" s="373"/>
      <c r="E118" s="373"/>
      <c r="F118" s="373"/>
      <c r="G118" s="373"/>
      <c r="H118" s="373"/>
      <c r="I118" s="16">
        <f>I92</f>
        <v>112.61699999999999</v>
      </c>
    </row>
    <row r="119" spans="1:12" x14ac:dyDescent="0.2">
      <c r="A119" s="340" t="s">
        <v>27</v>
      </c>
      <c r="B119" s="373" t="str">
        <f>A94</f>
        <v>MÓDULO 5 – INSUMOS DIVERSOS</v>
      </c>
      <c r="C119" s="373"/>
      <c r="D119" s="373"/>
      <c r="E119" s="373"/>
      <c r="F119" s="373"/>
      <c r="G119" s="373"/>
      <c r="H119" s="373"/>
      <c r="I119" s="16">
        <f>I100</f>
        <v>1376.398842751468</v>
      </c>
    </row>
    <row r="120" spans="1:12" x14ac:dyDescent="0.2">
      <c r="A120" s="345"/>
      <c r="B120" s="389" t="s">
        <v>100</v>
      </c>
      <c r="C120" s="389"/>
      <c r="D120" s="389"/>
      <c r="E120" s="389"/>
      <c r="F120" s="389"/>
      <c r="G120" s="389"/>
      <c r="H120" s="389"/>
      <c r="I120" s="13">
        <f>(SUM(I115:I119))</f>
        <v>3859.1256272514684</v>
      </c>
    </row>
    <row r="121" spans="1:12" x14ac:dyDescent="0.2">
      <c r="A121" s="340" t="s">
        <v>29</v>
      </c>
      <c r="B121" s="373" t="str">
        <f>A102</f>
        <v>MÓDULO 6 – CUSTOS INDIRETOS, TRIBUTOS E LUCRO</v>
      </c>
      <c r="C121" s="373"/>
      <c r="D121" s="373"/>
      <c r="E121" s="373"/>
      <c r="F121" s="373"/>
      <c r="G121" s="373"/>
      <c r="H121" s="373"/>
      <c r="I121" s="5">
        <f>I110</f>
        <v>807.75491577297987</v>
      </c>
    </row>
    <row r="122" spans="1:12" x14ac:dyDescent="0.2">
      <c r="A122" s="389" t="s">
        <v>101</v>
      </c>
      <c r="B122" s="389"/>
      <c r="C122" s="389"/>
      <c r="D122" s="389"/>
      <c r="E122" s="389"/>
      <c r="F122" s="389"/>
      <c r="G122" s="389"/>
      <c r="H122" s="389"/>
      <c r="I122" s="13">
        <f>(SUM(I120:I121))</f>
        <v>4666.8805430244483</v>
      </c>
      <c r="K122" s="350"/>
    </row>
    <row r="123" spans="1:12" x14ac:dyDescent="0.2">
      <c r="I123" s="20"/>
      <c r="K123" s="350"/>
    </row>
    <row r="124" spans="1:12" hidden="1" x14ac:dyDescent="0.2">
      <c r="A124" s="342"/>
      <c r="B124" s="379" t="s">
        <v>102</v>
      </c>
      <c r="C124" s="379"/>
      <c r="D124" s="379"/>
      <c r="E124" s="379"/>
      <c r="F124" s="379"/>
      <c r="G124" s="379"/>
      <c r="H124" s="8"/>
      <c r="I124" s="8"/>
      <c r="K124" s="350"/>
    </row>
    <row r="125" spans="1:12" ht="40.5" hidden="1" customHeight="1" x14ac:dyDescent="0.2">
      <c r="A125" s="385" t="s">
        <v>103</v>
      </c>
      <c r="B125" s="385"/>
      <c r="C125" s="385" t="s">
        <v>104</v>
      </c>
      <c r="D125" s="385"/>
      <c r="E125" s="385" t="s">
        <v>105</v>
      </c>
      <c r="F125" s="385"/>
      <c r="G125" s="28" t="s">
        <v>106</v>
      </c>
      <c r="H125" s="344" t="s">
        <v>107</v>
      </c>
      <c r="I125" s="343"/>
      <c r="K125" s="350"/>
    </row>
    <row r="126" spans="1:12" hidden="1" x14ac:dyDescent="0.2">
      <c r="A126" s="386" t="s">
        <v>108</v>
      </c>
      <c r="B126" s="386"/>
      <c r="C126" s="387" t="s">
        <v>109</v>
      </c>
      <c r="D126" s="387"/>
      <c r="E126" s="388"/>
      <c r="F126" s="388"/>
      <c r="G126" s="29" t="s">
        <v>109</v>
      </c>
      <c r="H126" s="30"/>
      <c r="I126" s="31"/>
      <c r="K126" s="350"/>
    </row>
    <row r="127" spans="1:12" hidden="1" x14ac:dyDescent="0.2">
      <c r="A127" s="381" t="s">
        <v>110</v>
      </c>
      <c r="B127" s="381"/>
      <c r="C127" s="382" t="s">
        <v>109</v>
      </c>
      <c r="D127" s="382"/>
      <c r="E127" s="383"/>
      <c r="F127" s="383"/>
      <c r="G127" s="32" t="s">
        <v>109</v>
      </c>
      <c r="H127" s="33"/>
      <c r="I127" s="34"/>
      <c r="K127" s="350"/>
    </row>
    <row r="128" spans="1:12" hidden="1" x14ac:dyDescent="0.2">
      <c r="A128" s="381" t="s">
        <v>111</v>
      </c>
      <c r="B128" s="381"/>
      <c r="C128" s="382" t="s">
        <v>109</v>
      </c>
      <c r="D128" s="382"/>
      <c r="E128" s="383"/>
      <c r="F128" s="383"/>
      <c r="G128" s="32" t="s">
        <v>109</v>
      </c>
      <c r="H128" s="33"/>
      <c r="I128" s="34"/>
      <c r="K128" s="350"/>
    </row>
    <row r="129" spans="1:11" hidden="1" x14ac:dyDescent="0.2">
      <c r="A129" s="381" t="s">
        <v>112</v>
      </c>
      <c r="B129" s="381"/>
      <c r="C129" s="382" t="s">
        <v>109</v>
      </c>
      <c r="D129" s="382"/>
      <c r="E129" s="383"/>
      <c r="F129" s="383"/>
      <c r="G129" s="32" t="s">
        <v>109</v>
      </c>
      <c r="H129" s="33"/>
      <c r="I129" s="34"/>
      <c r="K129" s="350"/>
    </row>
    <row r="130" spans="1:11" hidden="1" x14ac:dyDescent="0.2">
      <c r="A130" s="384"/>
      <c r="B130" s="384"/>
      <c r="C130" s="383"/>
      <c r="D130" s="383"/>
      <c r="E130" s="383"/>
      <c r="F130" s="383"/>
      <c r="G130" s="35"/>
      <c r="H130" s="36"/>
      <c r="I130" s="34"/>
      <c r="K130" s="350"/>
    </row>
    <row r="131" spans="1:11" ht="13.5" hidden="1" thickBot="1" x14ac:dyDescent="0.25">
      <c r="A131" s="376"/>
      <c r="B131" s="376"/>
      <c r="C131" s="377"/>
      <c r="D131" s="377"/>
      <c r="E131" s="377"/>
      <c r="F131" s="377"/>
      <c r="G131" s="37"/>
      <c r="H131" s="38"/>
      <c r="I131" s="39"/>
      <c r="K131" s="350"/>
    </row>
    <row r="132" spans="1:11" ht="13.5" hidden="1" thickBot="1" x14ac:dyDescent="0.25">
      <c r="A132" s="378" t="s">
        <v>113</v>
      </c>
      <c r="B132" s="378"/>
      <c r="C132" s="378"/>
      <c r="D132" s="378"/>
      <c r="E132" s="378"/>
      <c r="F132" s="378"/>
      <c r="G132" s="378"/>
      <c r="H132" s="378"/>
      <c r="I132" s="40"/>
      <c r="K132" s="350"/>
    </row>
    <row r="133" spans="1:11" x14ac:dyDescent="0.2">
      <c r="I133" s="20"/>
    </row>
    <row r="134" spans="1:11" hidden="1" x14ac:dyDescent="0.2">
      <c r="A134" s="342"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341"/>
      <c r="B136" s="371" t="s">
        <v>117</v>
      </c>
      <c r="C136" s="371"/>
      <c r="D136" s="371"/>
      <c r="E136" s="371"/>
      <c r="F136" s="371"/>
      <c r="G136" s="371"/>
      <c r="H136" s="371"/>
      <c r="I136" s="343" t="s">
        <v>22</v>
      </c>
    </row>
    <row r="137" spans="1:11" hidden="1" x14ac:dyDescent="0.2">
      <c r="A137" s="41" t="s">
        <v>1</v>
      </c>
      <c r="B137" s="372" t="s">
        <v>118</v>
      </c>
      <c r="C137" s="372"/>
      <c r="D137" s="372"/>
      <c r="E137" s="372"/>
      <c r="F137" s="372"/>
      <c r="G137" s="372"/>
      <c r="H137" s="372"/>
      <c r="I137" s="42">
        <f>I107</f>
        <v>30.33472352965892</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807.75491577297987</v>
      </c>
    </row>
    <row r="140" spans="1:11" ht="13.5" hidden="1" thickBot="1" x14ac:dyDescent="0.25">
      <c r="A140" s="375" t="s">
        <v>121</v>
      </c>
      <c r="B140" s="375"/>
      <c r="C140" s="375"/>
      <c r="D140" s="375"/>
      <c r="E140" s="375"/>
      <c r="F140" s="375"/>
      <c r="G140" s="375"/>
      <c r="H140" s="375"/>
      <c r="I140" s="40" t="e">
        <f>SUM(I137:I139)</f>
        <v>#REF!</v>
      </c>
    </row>
    <row r="141" spans="1:11" hidden="1" x14ac:dyDescent="0.2">
      <c r="A141" s="342" t="s">
        <v>122</v>
      </c>
      <c r="B141" s="45" t="s">
        <v>123</v>
      </c>
    </row>
    <row r="143" spans="1:11" ht="13.5" thickBot="1" x14ac:dyDescent="0.25">
      <c r="A143" s="432" t="s">
        <v>172</v>
      </c>
      <c r="B143" s="432"/>
      <c r="C143" s="432"/>
      <c r="D143" s="432"/>
      <c r="E143" s="432"/>
      <c r="F143" s="432"/>
      <c r="G143" s="432"/>
      <c r="J143" s="45"/>
    </row>
    <row r="144" spans="1:11" ht="63.75" x14ac:dyDescent="0.2">
      <c r="A144" s="104" t="s">
        <v>173</v>
      </c>
      <c r="B144" s="105" t="s">
        <v>174</v>
      </c>
      <c r="C144" s="106" t="s">
        <v>175</v>
      </c>
      <c r="D144" s="105" t="s">
        <v>176</v>
      </c>
      <c r="E144" s="105" t="s">
        <v>177</v>
      </c>
      <c r="F144" s="107" t="s">
        <v>178</v>
      </c>
      <c r="G144" s="107" t="s">
        <v>179</v>
      </c>
      <c r="J144" s="45"/>
    </row>
    <row r="145" spans="1:10" ht="15" x14ac:dyDescent="0.25">
      <c r="A145" s="108"/>
      <c r="B145" s="109"/>
      <c r="C145" s="110"/>
      <c r="D145" s="110"/>
      <c r="E145" s="110"/>
      <c r="F145" s="111"/>
      <c r="G145" s="112"/>
      <c r="J145" s="45"/>
    </row>
    <row r="146" spans="1:10" ht="14.25" x14ac:dyDescent="0.2">
      <c r="A146" s="113" t="s">
        <v>180</v>
      </c>
      <c r="B146" s="114">
        <f>2/(34*340)</f>
        <v>1.7301038062283736E-4</v>
      </c>
      <c r="C146" s="110">
        <v>16</v>
      </c>
      <c r="D146" s="114">
        <f>1/188.86</f>
        <v>5.2949274594938046E-3</v>
      </c>
      <c r="E146" s="114">
        <f>B146*C146*D146</f>
        <v>1.4657238642197382E-5</v>
      </c>
      <c r="F146" s="115">
        <v>0</v>
      </c>
      <c r="G146" s="116">
        <f>E146*F146</f>
        <v>0</v>
      </c>
      <c r="J146" s="45"/>
    </row>
    <row r="147" spans="1:10" ht="15" thickBot="1" x14ac:dyDescent="0.25">
      <c r="A147" s="117" t="s">
        <v>140</v>
      </c>
      <c r="B147" s="118">
        <f>1/340</f>
        <v>2.9411764705882353E-3</v>
      </c>
      <c r="C147" s="118">
        <v>16</v>
      </c>
      <c r="D147" s="118">
        <f>1/188.86</f>
        <v>5.2949274594938046E-3</v>
      </c>
      <c r="E147" s="118">
        <f>B147*C147*D147</f>
        <v>2.4917305691735553E-4</v>
      </c>
      <c r="F147" s="119">
        <f>I122</f>
        <v>4666.8805430244483</v>
      </c>
      <c r="G147" s="120">
        <f>E147*F147</f>
        <v>1.1628608911735299</v>
      </c>
      <c r="J147" s="45"/>
    </row>
    <row r="148" spans="1:10" ht="15" thickBot="1" x14ac:dyDescent="0.25">
      <c r="A148" s="429" t="s">
        <v>181</v>
      </c>
      <c r="B148" s="430"/>
      <c r="C148" s="430"/>
      <c r="D148" s="430"/>
      <c r="E148" s="430"/>
      <c r="F148" s="431"/>
      <c r="G148" s="121">
        <f>ROUND(SUM(G146:G147),2)</f>
        <v>1.1599999999999999</v>
      </c>
      <c r="J148" s="45"/>
    </row>
    <row r="149" spans="1:10" ht="14.25" x14ac:dyDescent="0.2">
      <c r="A149" s="122"/>
      <c r="B149" s="122"/>
      <c r="C149" s="122"/>
      <c r="D149" s="123"/>
      <c r="E149" s="124"/>
      <c r="F149" s="124"/>
      <c r="G149" s="124"/>
      <c r="J149" s="45"/>
    </row>
  </sheetData>
  <mergeCells count="173">
    <mergeCell ref="B4:H4"/>
    <mergeCell ref="L4:M4"/>
    <mergeCell ref="N4:Q4"/>
    <mergeCell ref="R4:S4"/>
    <mergeCell ref="B5:H5"/>
    <mergeCell ref="K5:S5"/>
    <mergeCell ref="A2:I2"/>
    <mergeCell ref="K2:S2"/>
    <mergeCell ref="B3:H3"/>
    <mergeCell ref="L3:M3"/>
    <mergeCell ref="N3:Q3"/>
    <mergeCell ref="R3:S3"/>
    <mergeCell ref="A10:B10"/>
    <mergeCell ref="C10:D10"/>
    <mergeCell ref="E10:I10"/>
    <mergeCell ref="L10:Q10"/>
    <mergeCell ref="R10:S10"/>
    <mergeCell ref="L11:Q11"/>
    <mergeCell ref="R11:S11"/>
    <mergeCell ref="B6:H6"/>
    <mergeCell ref="K6:S6"/>
    <mergeCell ref="K7:S7"/>
    <mergeCell ref="A8:I8"/>
    <mergeCell ref="K8:S8"/>
    <mergeCell ref="A9:B9"/>
    <mergeCell ref="C9:D9"/>
    <mergeCell ref="E9:I9"/>
    <mergeCell ref="L9:Q9"/>
    <mergeCell ref="R9:S9"/>
    <mergeCell ref="B16:H16"/>
    <mergeCell ref="B17:H17"/>
    <mergeCell ref="A18:I18"/>
    <mergeCell ref="A19:I19"/>
    <mergeCell ref="B20:G20"/>
    <mergeCell ref="B21:G21"/>
    <mergeCell ref="A12:I12"/>
    <mergeCell ref="L12:Q12"/>
    <mergeCell ref="R12:S12"/>
    <mergeCell ref="B13:H13"/>
    <mergeCell ref="B14:H14"/>
    <mergeCell ref="B15:H15"/>
    <mergeCell ref="A28:H28"/>
    <mergeCell ref="A30:I30"/>
    <mergeCell ref="A31:G31"/>
    <mergeCell ref="B32:G32"/>
    <mergeCell ref="B33:G33"/>
    <mergeCell ref="B34:G34"/>
    <mergeCell ref="B22:G22"/>
    <mergeCell ref="B23:G23"/>
    <mergeCell ref="B24:G24"/>
    <mergeCell ref="B25:G25"/>
    <mergeCell ref="B26:G26"/>
    <mergeCell ref="B27:G27"/>
    <mergeCell ref="A35:G35"/>
    <mergeCell ref="A36:I36"/>
    <mergeCell ref="A37:G37"/>
    <mergeCell ref="K37:K45"/>
    <mergeCell ref="B38:G38"/>
    <mergeCell ref="B39:G39"/>
    <mergeCell ref="B40:G40"/>
    <mergeCell ref="B41:G41"/>
    <mergeCell ref="B42:G42"/>
    <mergeCell ref="B43:G43"/>
    <mergeCell ref="B50:G50"/>
    <mergeCell ref="B51:G51"/>
    <mergeCell ref="B52:G52"/>
    <mergeCell ref="B53:G53"/>
    <mergeCell ref="A54:H54"/>
    <mergeCell ref="A55:I55"/>
    <mergeCell ref="B44:G44"/>
    <mergeCell ref="B45:G45"/>
    <mergeCell ref="A46:G46"/>
    <mergeCell ref="A47:I47"/>
    <mergeCell ref="A48:G48"/>
    <mergeCell ref="B49:G49"/>
    <mergeCell ref="A62:I62"/>
    <mergeCell ref="A63:I63"/>
    <mergeCell ref="B64:G64"/>
    <mergeCell ref="B65:G65"/>
    <mergeCell ref="B66:G66"/>
    <mergeCell ref="B67:G67"/>
    <mergeCell ref="A56:I56"/>
    <mergeCell ref="A57:H57"/>
    <mergeCell ref="B58:H58"/>
    <mergeCell ref="B59:H59"/>
    <mergeCell ref="B60:H60"/>
    <mergeCell ref="A61:H61"/>
    <mergeCell ref="A74:G74"/>
    <mergeCell ref="B75:G75"/>
    <mergeCell ref="B76:G76"/>
    <mergeCell ref="B77:G77"/>
    <mergeCell ref="B78:G78"/>
    <mergeCell ref="B79:G79"/>
    <mergeCell ref="B68:G68"/>
    <mergeCell ref="B69:G69"/>
    <mergeCell ref="B70:G70"/>
    <mergeCell ref="A71:G71"/>
    <mergeCell ref="A72:I72"/>
    <mergeCell ref="A73:I73"/>
    <mergeCell ref="A86:I86"/>
    <mergeCell ref="A87:I87"/>
    <mergeCell ref="A88:H88"/>
    <mergeCell ref="B89:H89"/>
    <mergeCell ref="B90:H90"/>
    <mergeCell ref="B91:H91"/>
    <mergeCell ref="B80:G80"/>
    <mergeCell ref="A81:G81"/>
    <mergeCell ref="A82:I82"/>
    <mergeCell ref="A83:G83"/>
    <mergeCell ref="B84:G84"/>
    <mergeCell ref="A85:G85"/>
    <mergeCell ref="B98:G98"/>
    <mergeCell ref="B99:G99"/>
    <mergeCell ref="A100:G100"/>
    <mergeCell ref="A101:I101"/>
    <mergeCell ref="A102:I102"/>
    <mergeCell ref="B103:G103"/>
    <mergeCell ref="A92:H92"/>
    <mergeCell ref="A93:I93"/>
    <mergeCell ref="A94:I94"/>
    <mergeCell ref="B95:G95"/>
    <mergeCell ref="B96:G96"/>
    <mergeCell ref="B97:G97"/>
    <mergeCell ref="A110:G110"/>
    <mergeCell ref="B111:I111"/>
    <mergeCell ref="A113:I113"/>
    <mergeCell ref="A114:H114"/>
    <mergeCell ref="B115:H115"/>
    <mergeCell ref="B116:H116"/>
    <mergeCell ref="B104:G104"/>
    <mergeCell ref="B105:G105"/>
    <mergeCell ref="B106:G106"/>
    <mergeCell ref="B107:G107"/>
    <mergeCell ref="B108:G108"/>
    <mergeCell ref="B109:G109"/>
    <mergeCell ref="B124:G124"/>
    <mergeCell ref="A125:B125"/>
    <mergeCell ref="C125:D125"/>
    <mergeCell ref="E125:F125"/>
    <mergeCell ref="A126:B126"/>
    <mergeCell ref="C126:D126"/>
    <mergeCell ref="E126:F126"/>
    <mergeCell ref="B117:H117"/>
    <mergeCell ref="B118:H118"/>
    <mergeCell ref="B119:H119"/>
    <mergeCell ref="B120:H120"/>
    <mergeCell ref="B121:H121"/>
    <mergeCell ref="A122:H122"/>
    <mergeCell ref="A129:B129"/>
    <mergeCell ref="C129:D129"/>
    <mergeCell ref="E129:F129"/>
    <mergeCell ref="A130:B130"/>
    <mergeCell ref="C130:D130"/>
    <mergeCell ref="E130:F130"/>
    <mergeCell ref="A127:B127"/>
    <mergeCell ref="C127:D127"/>
    <mergeCell ref="E127:F127"/>
    <mergeCell ref="A128:B128"/>
    <mergeCell ref="C128:D128"/>
    <mergeCell ref="E128:F128"/>
    <mergeCell ref="A148:F148"/>
    <mergeCell ref="B136:H136"/>
    <mergeCell ref="B137:H137"/>
    <mergeCell ref="B138:H138"/>
    <mergeCell ref="B139:H139"/>
    <mergeCell ref="A140:H140"/>
    <mergeCell ref="A143:G143"/>
    <mergeCell ref="A131:B131"/>
    <mergeCell ref="C131:D131"/>
    <mergeCell ref="E131:F131"/>
    <mergeCell ref="A132:H132"/>
    <mergeCell ref="B134:G134"/>
    <mergeCell ref="A135:I135"/>
  </mergeCells>
  <pageMargins left="0.25" right="0.25" top="0.75" bottom="0.75" header="0.3" footer="0.3"/>
  <pageSetup paperSize="9" firstPageNumber="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BCD8B-0057-4855-A057-1B7B50D0F4CD}">
  <sheetPr>
    <tabColor rgb="FF7030A0"/>
  </sheetPr>
  <dimension ref="A2:S148"/>
  <sheetViews>
    <sheetView tabSelected="1" topLeftCell="A121" zoomScale="118" zoomScaleNormal="118" workbookViewId="0">
      <selection activeCell="I104" sqref="I104"/>
    </sheetView>
  </sheetViews>
  <sheetFormatPr defaultColWidth="9.140625" defaultRowHeight="12.75" x14ac:dyDescent="0.2"/>
  <cols>
    <col min="1" max="3" width="9.140625" style="45"/>
    <col min="4" max="4" width="24" style="45" bestFit="1" customWidth="1"/>
    <col min="5"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340" t="s">
        <v>1</v>
      </c>
      <c r="B3" s="373" t="s">
        <v>2</v>
      </c>
      <c r="C3" s="373"/>
      <c r="D3" s="373"/>
      <c r="E3" s="373"/>
      <c r="F3" s="373"/>
      <c r="G3" s="373"/>
      <c r="H3" s="373"/>
      <c r="I3" s="1">
        <v>44182</v>
      </c>
      <c r="K3" s="347"/>
      <c r="L3" s="410"/>
      <c r="M3" s="410"/>
      <c r="N3" s="410"/>
      <c r="O3" s="410"/>
      <c r="P3" s="410"/>
      <c r="Q3" s="410"/>
      <c r="R3" s="416"/>
      <c r="S3" s="416"/>
    </row>
    <row r="4" spans="1:19" x14ac:dyDescent="0.2">
      <c r="A4" s="340" t="s">
        <v>3</v>
      </c>
      <c r="B4" s="373" t="s">
        <v>4</v>
      </c>
      <c r="C4" s="373"/>
      <c r="D4" s="373"/>
      <c r="E4" s="373"/>
      <c r="F4" s="373"/>
      <c r="G4" s="373"/>
      <c r="H4" s="373"/>
      <c r="I4" s="340" t="s">
        <v>183</v>
      </c>
      <c r="K4" s="347"/>
      <c r="L4" s="407"/>
      <c r="M4" s="407"/>
      <c r="N4" s="410"/>
      <c r="O4" s="410"/>
      <c r="P4" s="410"/>
      <c r="Q4" s="410"/>
      <c r="R4" s="410"/>
      <c r="S4" s="410"/>
    </row>
    <row r="5" spans="1:19" x14ac:dyDescent="0.2">
      <c r="A5" s="340" t="s">
        <v>5</v>
      </c>
      <c r="B5" s="373" t="s">
        <v>6</v>
      </c>
      <c r="C5" s="373"/>
      <c r="D5" s="373"/>
      <c r="E5" s="373"/>
      <c r="F5" s="373"/>
      <c r="G5" s="373"/>
      <c r="H5" s="373"/>
      <c r="I5" s="340">
        <v>2020</v>
      </c>
      <c r="K5" s="414"/>
      <c r="L5" s="414"/>
      <c r="M5" s="414"/>
      <c r="N5" s="414"/>
      <c r="O5" s="414"/>
      <c r="P5" s="414"/>
      <c r="Q5" s="414"/>
      <c r="R5" s="414"/>
      <c r="S5" s="414"/>
    </row>
    <row r="6" spans="1:19" x14ac:dyDescent="0.2">
      <c r="A6" s="340" t="s">
        <v>7</v>
      </c>
      <c r="B6" s="373" t="s">
        <v>8</v>
      </c>
      <c r="C6" s="373"/>
      <c r="D6" s="373"/>
      <c r="E6" s="373"/>
      <c r="F6" s="373"/>
      <c r="G6" s="373"/>
      <c r="H6" s="373"/>
      <c r="I6" s="340">
        <v>12</v>
      </c>
      <c r="K6" s="414"/>
      <c r="L6" s="414"/>
      <c r="M6" s="414"/>
      <c r="N6" s="414"/>
      <c r="O6" s="414"/>
      <c r="P6" s="414"/>
      <c r="Q6" s="414"/>
      <c r="R6" s="414"/>
      <c r="S6" s="414"/>
    </row>
    <row r="7" spans="1:19" x14ac:dyDescent="0.2">
      <c r="A7" s="342"/>
      <c r="B7" s="346"/>
      <c r="C7" s="346"/>
      <c r="D7" s="346"/>
      <c r="E7" s="346"/>
      <c r="F7" s="346"/>
      <c r="G7" s="346"/>
      <c r="H7" s="342"/>
      <c r="I7" s="342"/>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347"/>
      <c r="L9" s="406"/>
      <c r="M9" s="406"/>
      <c r="N9" s="406"/>
      <c r="O9" s="406"/>
      <c r="P9" s="406"/>
      <c r="Q9" s="406"/>
      <c r="R9" s="410"/>
      <c r="S9" s="410"/>
    </row>
    <row r="10" spans="1:19" ht="27" customHeight="1" x14ac:dyDescent="0.2">
      <c r="A10" s="411" t="s">
        <v>488</v>
      </c>
      <c r="B10" s="411"/>
      <c r="C10" s="370"/>
      <c r="D10" s="370"/>
      <c r="E10" s="412">
        <v>1</v>
      </c>
      <c r="F10" s="412"/>
      <c r="G10" s="412"/>
      <c r="H10" s="412"/>
      <c r="I10" s="412"/>
      <c r="K10" s="348"/>
      <c r="L10" s="408"/>
      <c r="M10" s="408"/>
      <c r="N10" s="408"/>
      <c r="O10" s="408"/>
      <c r="P10" s="408"/>
      <c r="Q10" s="408"/>
      <c r="R10" s="413"/>
      <c r="S10" s="413"/>
    </row>
    <row r="11" spans="1:19" x14ac:dyDescent="0.2">
      <c r="A11" s="342"/>
      <c r="B11" s="346"/>
      <c r="C11" s="346"/>
      <c r="D11" s="346"/>
      <c r="E11" s="346"/>
      <c r="F11" s="346"/>
      <c r="G11" s="346"/>
      <c r="H11" s="342"/>
      <c r="I11" s="342"/>
      <c r="K11" s="347"/>
      <c r="L11" s="406"/>
      <c r="M11" s="406"/>
      <c r="N11" s="406"/>
      <c r="O11" s="406"/>
      <c r="P11" s="406"/>
      <c r="Q11" s="406"/>
      <c r="R11" s="407"/>
      <c r="S11" s="407"/>
    </row>
    <row r="12" spans="1:19" x14ac:dyDescent="0.2">
      <c r="A12" s="395" t="s">
        <v>13</v>
      </c>
      <c r="B12" s="395"/>
      <c r="C12" s="395"/>
      <c r="D12" s="395"/>
      <c r="E12" s="395"/>
      <c r="F12" s="395"/>
      <c r="G12" s="395"/>
      <c r="H12" s="395"/>
      <c r="I12" s="395"/>
      <c r="K12" s="348"/>
      <c r="L12" s="408"/>
      <c r="M12" s="408"/>
      <c r="N12" s="408"/>
      <c r="O12" s="408"/>
      <c r="P12" s="408"/>
      <c r="Q12" s="408"/>
      <c r="R12" s="409"/>
      <c r="S12" s="409"/>
    </row>
    <row r="13" spans="1:19" x14ac:dyDescent="0.2">
      <c r="A13" s="340">
        <v>1</v>
      </c>
      <c r="B13" s="373" t="s">
        <v>14</v>
      </c>
      <c r="C13" s="373"/>
      <c r="D13" s="373"/>
      <c r="E13" s="373"/>
      <c r="F13" s="373"/>
      <c r="G13" s="373"/>
      <c r="H13" s="373"/>
      <c r="I13" s="50" t="s">
        <v>184</v>
      </c>
      <c r="K13" s="2"/>
      <c r="L13" s="2"/>
      <c r="M13" s="2"/>
      <c r="N13" s="2"/>
      <c r="O13" s="2"/>
      <c r="P13" s="2"/>
      <c r="Q13" s="2"/>
      <c r="R13" s="2"/>
      <c r="S13" s="2"/>
    </row>
    <row r="14" spans="1:19" x14ac:dyDescent="0.2">
      <c r="A14" s="340">
        <v>2</v>
      </c>
      <c r="B14" s="373" t="s">
        <v>15</v>
      </c>
      <c r="C14" s="373"/>
      <c r="D14" s="373"/>
      <c r="E14" s="373"/>
      <c r="F14" s="373"/>
      <c r="G14" s="373"/>
      <c r="H14" s="373"/>
      <c r="I14" s="340"/>
    </row>
    <row r="15" spans="1:19" x14ac:dyDescent="0.2">
      <c r="A15" s="340">
        <v>3</v>
      </c>
      <c r="B15" s="373" t="s">
        <v>16</v>
      </c>
      <c r="C15" s="373"/>
      <c r="D15" s="373"/>
      <c r="E15" s="373"/>
      <c r="F15" s="373"/>
      <c r="G15" s="373"/>
      <c r="H15" s="373"/>
      <c r="I15" s="3">
        <v>1266</v>
      </c>
    </row>
    <row r="16" spans="1:19" x14ac:dyDescent="0.2">
      <c r="A16" s="340">
        <v>4</v>
      </c>
      <c r="B16" s="373" t="s">
        <v>17</v>
      </c>
      <c r="C16" s="373"/>
      <c r="D16" s="373"/>
      <c r="E16" s="373"/>
      <c r="F16" s="373"/>
      <c r="G16" s="373"/>
      <c r="H16" s="373"/>
      <c r="I16" s="1" t="str">
        <f>A10</f>
        <v>JARDINEIRO</v>
      </c>
    </row>
    <row r="17" spans="1:12" x14ac:dyDescent="0.2">
      <c r="A17" s="340">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345">
        <v>1</v>
      </c>
      <c r="B20" s="389" t="s">
        <v>20</v>
      </c>
      <c r="C20" s="389"/>
      <c r="D20" s="389"/>
      <c r="E20" s="389"/>
      <c r="F20" s="389"/>
      <c r="G20" s="389"/>
      <c r="H20" s="345" t="s">
        <v>21</v>
      </c>
      <c r="I20" s="345" t="s">
        <v>22</v>
      </c>
    </row>
    <row r="21" spans="1:12" x14ac:dyDescent="0.2">
      <c r="A21" s="345" t="s">
        <v>1</v>
      </c>
      <c r="B21" s="373" t="s">
        <v>23</v>
      </c>
      <c r="C21" s="373"/>
      <c r="D21" s="373"/>
      <c r="E21" s="373"/>
      <c r="F21" s="373"/>
      <c r="G21" s="373"/>
      <c r="H21" s="4"/>
      <c r="I21" s="5">
        <f>I15</f>
        <v>1266</v>
      </c>
      <c r="L21" s="20">
        <f>I35+I46+I71+I81</f>
        <v>834.50675130000002</v>
      </c>
    </row>
    <row r="22" spans="1:12" x14ac:dyDescent="0.2">
      <c r="A22" s="345" t="s">
        <v>3</v>
      </c>
      <c r="B22" s="373" t="s">
        <v>24</v>
      </c>
      <c r="C22" s="373"/>
      <c r="D22" s="373"/>
      <c r="E22" s="373"/>
      <c r="F22" s="373"/>
      <c r="G22" s="373"/>
      <c r="H22" s="6"/>
      <c r="I22" s="5">
        <v>0</v>
      </c>
      <c r="L22" s="53">
        <f>L21/I28</f>
        <v>0.65916805000000001</v>
      </c>
    </row>
    <row r="23" spans="1:12" x14ac:dyDescent="0.2">
      <c r="A23" s="345" t="s">
        <v>5</v>
      </c>
      <c r="B23" s="373" t="s">
        <v>25</v>
      </c>
      <c r="C23" s="373"/>
      <c r="D23" s="373"/>
      <c r="E23" s="373"/>
      <c r="F23" s="373"/>
      <c r="G23" s="373"/>
      <c r="H23" s="6">
        <v>0</v>
      </c>
      <c r="I23" s="5">
        <f>I21*H23</f>
        <v>0</v>
      </c>
    </row>
    <row r="24" spans="1:12" x14ac:dyDescent="0.2">
      <c r="A24" s="345" t="s">
        <v>7</v>
      </c>
      <c r="B24" s="373" t="s">
        <v>26</v>
      </c>
      <c r="C24" s="373"/>
      <c r="D24" s="373"/>
      <c r="E24" s="373"/>
      <c r="F24" s="373"/>
      <c r="G24" s="373"/>
      <c r="H24" s="6"/>
      <c r="I24" s="5">
        <v>0</v>
      </c>
    </row>
    <row r="25" spans="1:12" x14ac:dyDescent="0.2">
      <c r="A25" s="345" t="s">
        <v>27</v>
      </c>
      <c r="B25" s="373" t="s">
        <v>28</v>
      </c>
      <c r="C25" s="373"/>
      <c r="D25" s="373"/>
      <c r="E25" s="373"/>
      <c r="F25" s="373"/>
      <c r="G25" s="373"/>
      <c r="H25" s="6"/>
      <c r="I25" s="5">
        <v>0</v>
      </c>
    </row>
    <row r="26" spans="1:12" x14ac:dyDescent="0.2">
      <c r="A26" s="345" t="s">
        <v>29</v>
      </c>
      <c r="B26" s="373" t="s">
        <v>30</v>
      </c>
      <c r="C26" s="373"/>
      <c r="D26" s="373"/>
      <c r="E26" s="373"/>
      <c r="F26" s="373"/>
      <c r="G26" s="373"/>
      <c r="H26" s="6"/>
      <c r="I26" s="5">
        <v>0</v>
      </c>
    </row>
    <row r="27" spans="1:12" x14ac:dyDescent="0.2">
      <c r="A27" s="345"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1266</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345" t="s">
        <v>21</v>
      </c>
      <c r="I31" s="345" t="s">
        <v>22</v>
      </c>
      <c r="J31" s="48"/>
    </row>
    <row r="32" spans="1:12" x14ac:dyDescent="0.2">
      <c r="A32" s="345" t="s">
        <v>1</v>
      </c>
      <c r="B32" s="373" t="s">
        <v>36</v>
      </c>
      <c r="C32" s="373"/>
      <c r="D32" s="373"/>
      <c r="E32" s="373"/>
      <c r="F32" s="373"/>
      <c r="G32" s="373"/>
      <c r="H32" s="10">
        <v>8.3299999999999999E-2</v>
      </c>
      <c r="I32" s="5">
        <f>$I$28*H32</f>
        <v>105.45779999999999</v>
      </c>
      <c r="J32" s="48"/>
    </row>
    <row r="33" spans="1:11" x14ac:dyDescent="0.2">
      <c r="A33" s="345" t="s">
        <v>3</v>
      </c>
      <c r="B33" s="373" t="s">
        <v>185</v>
      </c>
      <c r="C33" s="373"/>
      <c r="D33" s="373"/>
      <c r="E33" s="373"/>
      <c r="F33" s="373"/>
      <c r="G33" s="373"/>
      <c r="H33" s="11">
        <v>2.7799999999999998E-2</v>
      </c>
      <c r="I33" s="5">
        <f>H33*I28</f>
        <v>35.194800000000001</v>
      </c>
      <c r="J33" s="48"/>
    </row>
    <row r="34" spans="1:11" x14ac:dyDescent="0.2">
      <c r="A34" s="345" t="s">
        <v>132</v>
      </c>
      <c r="B34" s="373" t="s">
        <v>133</v>
      </c>
      <c r="C34" s="373"/>
      <c r="D34" s="373"/>
      <c r="E34" s="373"/>
      <c r="F34" s="373"/>
      <c r="G34" s="373"/>
      <c r="H34" s="11">
        <f>(H32+H33)*H46</f>
        <v>3.9784910000000007E-2</v>
      </c>
      <c r="I34" s="5">
        <f>I28*H34</f>
        <v>50.367696060000007</v>
      </c>
      <c r="J34" s="48"/>
    </row>
    <row r="35" spans="1:11" x14ac:dyDescent="0.2">
      <c r="A35" s="389" t="s">
        <v>37</v>
      </c>
      <c r="B35" s="389"/>
      <c r="C35" s="389"/>
      <c r="D35" s="389"/>
      <c r="E35" s="389"/>
      <c r="F35" s="389"/>
      <c r="G35" s="389"/>
      <c r="H35" s="12">
        <f>TRUNC(SUM(H32:H33),4)</f>
        <v>0.1111</v>
      </c>
      <c r="I35" s="13">
        <f>SUM(I32:I34)</f>
        <v>191.02029606000002</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345" t="s">
        <v>21</v>
      </c>
      <c r="I37" s="345" t="s">
        <v>22</v>
      </c>
      <c r="J37" s="48"/>
      <c r="K37" s="404"/>
    </row>
    <row r="38" spans="1:11" x14ac:dyDescent="0.2">
      <c r="A38" s="345" t="s">
        <v>1</v>
      </c>
      <c r="B38" s="373" t="s">
        <v>39</v>
      </c>
      <c r="C38" s="373"/>
      <c r="D38" s="373"/>
      <c r="E38" s="373"/>
      <c r="F38" s="373"/>
      <c r="G38" s="373"/>
      <c r="H38" s="10">
        <v>0.2</v>
      </c>
      <c r="I38" s="5">
        <f>($I$28)*H38</f>
        <v>253.20000000000002</v>
      </c>
      <c r="J38" s="48"/>
      <c r="K38" s="404"/>
    </row>
    <row r="39" spans="1:11" x14ac:dyDescent="0.2">
      <c r="A39" s="345" t="s">
        <v>3</v>
      </c>
      <c r="B39" s="373" t="s">
        <v>40</v>
      </c>
      <c r="C39" s="373"/>
      <c r="D39" s="373"/>
      <c r="E39" s="373"/>
      <c r="F39" s="373"/>
      <c r="G39" s="373"/>
      <c r="H39" s="10">
        <v>2.5000000000000001E-2</v>
      </c>
      <c r="I39" s="5">
        <f t="shared" ref="I39:I45" si="0">($I$28)*H39</f>
        <v>31.650000000000002</v>
      </c>
      <c r="J39" s="48"/>
      <c r="K39" s="404"/>
    </row>
    <row r="40" spans="1:11" x14ac:dyDescent="0.2">
      <c r="A40" s="345" t="s">
        <v>5</v>
      </c>
      <c r="B40" s="373" t="s">
        <v>41</v>
      </c>
      <c r="C40" s="373"/>
      <c r="D40" s="373"/>
      <c r="E40" s="373"/>
      <c r="F40" s="373"/>
      <c r="G40" s="373"/>
      <c r="H40" s="10">
        <v>2.01E-2</v>
      </c>
      <c r="I40" s="5">
        <f t="shared" si="0"/>
        <v>25.4466</v>
      </c>
      <c r="J40" s="48"/>
      <c r="K40" s="404"/>
    </row>
    <row r="41" spans="1:11" x14ac:dyDescent="0.2">
      <c r="A41" s="345" t="s">
        <v>7</v>
      </c>
      <c r="B41" s="373" t="s">
        <v>42</v>
      </c>
      <c r="C41" s="373"/>
      <c r="D41" s="373"/>
      <c r="E41" s="373"/>
      <c r="F41" s="373"/>
      <c r="G41" s="373"/>
      <c r="H41" s="10">
        <v>1.4999999999999999E-2</v>
      </c>
      <c r="I41" s="5">
        <f t="shared" si="0"/>
        <v>18.989999999999998</v>
      </c>
      <c r="J41" s="48"/>
      <c r="K41" s="404"/>
    </row>
    <row r="42" spans="1:11" x14ac:dyDescent="0.2">
      <c r="A42" s="345" t="s">
        <v>27</v>
      </c>
      <c r="B42" s="373" t="s">
        <v>43</v>
      </c>
      <c r="C42" s="373"/>
      <c r="D42" s="373"/>
      <c r="E42" s="373"/>
      <c r="F42" s="373"/>
      <c r="G42" s="373"/>
      <c r="H42" s="10">
        <v>0.01</v>
      </c>
      <c r="I42" s="5">
        <f t="shared" si="0"/>
        <v>12.66</v>
      </c>
      <c r="J42" s="48"/>
      <c r="K42" s="404"/>
    </row>
    <row r="43" spans="1:11" x14ac:dyDescent="0.2">
      <c r="A43" s="345" t="s">
        <v>29</v>
      </c>
      <c r="B43" s="373" t="s">
        <v>44</v>
      </c>
      <c r="C43" s="373"/>
      <c r="D43" s="373"/>
      <c r="E43" s="373"/>
      <c r="F43" s="373"/>
      <c r="G43" s="373"/>
      <c r="H43" s="10">
        <v>6.0000000000000001E-3</v>
      </c>
      <c r="I43" s="5">
        <f t="shared" si="0"/>
        <v>7.5960000000000001</v>
      </c>
      <c r="J43" s="48"/>
      <c r="K43" s="404"/>
    </row>
    <row r="44" spans="1:11" x14ac:dyDescent="0.2">
      <c r="A44" s="345" t="s">
        <v>31</v>
      </c>
      <c r="B44" s="373" t="s">
        <v>45</v>
      </c>
      <c r="C44" s="373"/>
      <c r="D44" s="373"/>
      <c r="E44" s="373"/>
      <c r="F44" s="373"/>
      <c r="G44" s="373"/>
      <c r="H44" s="10">
        <v>2E-3</v>
      </c>
      <c r="I44" s="5">
        <f t="shared" si="0"/>
        <v>2.532</v>
      </c>
      <c r="J44" s="48"/>
      <c r="K44" s="404"/>
    </row>
    <row r="45" spans="1:11" x14ac:dyDescent="0.2">
      <c r="A45" s="345" t="s">
        <v>46</v>
      </c>
      <c r="B45" s="373" t="s">
        <v>47</v>
      </c>
      <c r="C45" s="373"/>
      <c r="D45" s="373"/>
      <c r="E45" s="373"/>
      <c r="F45" s="373"/>
      <c r="G45" s="373"/>
      <c r="H45" s="10">
        <v>0.08</v>
      </c>
      <c r="I45" s="5">
        <f t="shared" si="0"/>
        <v>101.28</v>
      </c>
      <c r="J45" s="48"/>
      <c r="K45" s="404"/>
    </row>
    <row r="46" spans="1:11" x14ac:dyDescent="0.2">
      <c r="A46" s="389" t="s">
        <v>48</v>
      </c>
      <c r="B46" s="389"/>
      <c r="C46" s="389"/>
      <c r="D46" s="389"/>
      <c r="E46" s="389"/>
      <c r="F46" s="389"/>
      <c r="G46" s="389"/>
      <c r="H46" s="12">
        <f>SUM(H38:H45)</f>
        <v>0.35810000000000003</v>
      </c>
      <c r="I46" s="13">
        <f>(SUM(I38:I45))</f>
        <v>453.3546</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345" t="s">
        <v>22</v>
      </c>
      <c r="J48" s="48"/>
    </row>
    <row r="49" spans="1:10" x14ac:dyDescent="0.2">
      <c r="A49" s="345" t="s">
        <v>1</v>
      </c>
      <c r="B49" s="393" t="s">
        <v>125</v>
      </c>
      <c r="C49" s="393"/>
      <c r="D49" s="393"/>
      <c r="E49" s="393"/>
      <c r="F49" s="393"/>
      <c r="G49" s="393"/>
      <c r="H49" s="55">
        <v>0</v>
      </c>
      <c r="I49" s="14">
        <v>0</v>
      </c>
      <c r="J49" s="48"/>
    </row>
    <row r="50" spans="1:10" x14ac:dyDescent="0.2">
      <c r="A50" s="345" t="s">
        <v>3</v>
      </c>
      <c r="B50" s="393" t="s">
        <v>124</v>
      </c>
      <c r="C50" s="393"/>
      <c r="D50" s="393"/>
      <c r="E50" s="393"/>
      <c r="F50" s="393"/>
      <c r="G50" s="393"/>
      <c r="H50" s="55">
        <v>418</v>
      </c>
      <c r="I50" s="15">
        <f>H50*0.8</f>
        <v>334.40000000000003</v>
      </c>
      <c r="J50" s="49"/>
    </row>
    <row r="51" spans="1:10" x14ac:dyDescent="0.2">
      <c r="A51" s="345" t="s">
        <v>5</v>
      </c>
      <c r="B51" s="393" t="s">
        <v>126</v>
      </c>
      <c r="C51" s="393"/>
      <c r="D51" s="393"/>
      <c r="E51" s="393"/>
      <c r="F51" s="393"/>
      <c r="G51" s="393"/>
      <c r="H51" s="55">
        <v>0</v>
      </c>
      <c r="I51" s="14">
        <f>H51</f>
        <v>0</v>
      </c>
      <c r="J51" s="48"/>
    </row>
    <row r="52" spans="1:10" x14ac:dyDescent="0.2">
      <c r="A52" s="345" t="s">
        <v>7</v>
      </c>
      <c r="B52" s="397" t="s">
        <v>127</v>
      </c>
      <c r="C52" s="398"/>
      <c r="D52" s="398"/>
      <c r="E52" s="398"/>
      <c r="F52" s="398"/>
      <c r="G52" s="399"/>
      <c r="H52" s="55">
        <v>0</v>
      </c>
      <c r="I52" s="14">
        <f>H52</f>
        <v>0</v>
      </c>
      <c r="J52" s="48"/>
    </row>
    <row r="53" spans="1:10" x14ac:dyDescent="0.2">
      <c r="A53" s="345"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342.40000000000003</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345" t="s">
        <v>22</v>
      </c>
      <c r="J57" s="48"/>
    </row>
    <row r="58" spans="1:10" x14ac:dyDescent="0.2">
      <c r="A58" s="345" t="s">
        <v>54</v>
      </c>
      <c r="B58" s="370" t="s">
        <v>55</v>
      </c>
      <c r="C58" s="370"/>
      <c r="D58" s="370"/>
      <c r="E58" s="370"/>
      <c r="F58" s="370"/>
      <c r="G58" s="370"/>
      <c r="H58" s="370"/>
      <c r="I58" s="16">
        <f>I35</f>
        <v>191.02029606000002</v>
      </c>
      <c r="J58" s="48"/>
    </row>
    <row r="59" spans="1:10" x14ac:dyDescent="0.2">
      <c r="A59" s="345" t="s">
        <v>56</v>
      </c>
      <c r="B59" s="370" t="s">
        <v>57</v>
      </c>
      <c r="C59" s="370"/>
      <c r="D59" s="370"/>
      <c r="E59" s="370"/>
      <c r="F59" s="370"/>
      <c r="G59" s="370"/>
      <c r="H59" s="370"/>
      <c r="I59" s="16">
        <f>I46</f>
        <v>453.3546</v>
      </c>
      <c r="J59" s="48"/>
    </row>
    <row r="60" spans="1:10" x14ac:dyDescent="0.2">
      <c r="A60" s="345" t="s">
        <v>58</v>
      </c>
      <c r="B60" s="370" t="s">
        <v>59</v>
      </c>
      <c r="C60" s="370"/>
      <c r="D60" s="370"/>
      <c r="E60" s="370"/>
      <c r="F60" s="370"/>
      <c r="G60" s="370"/>
      <c r="H60" s="370"/>
      <c r="I60" s="16">
        <f>I54</f>
        <v>342.40000000000003</v>
      </c>
      <c r="J60" s="48"/>
    </row>
    <row r="61" spans="1:10" x14ac:dyDescent="0.2">
      <c r="A61" s="389" t="s">
        <v>60</v>
      </c>
      <c r="B61" s="389"/>
      <c r="C61" s="389"/>
      <c r="D61" s="389"/>
      <c r="E61" s="389"/>
      <c r="F61" s="389"/>
      <c r="G61" s="389"/>
      <c r="H61" s="389"/>
      <c r="I61" s="13">
        <f>(SUM(I58:I60))</f>
        <v>986.77489606000017</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345">
        <v>3</v>
      </c>
      <c r="B64" s="389" t="s">
        <v>62</v>
      </c>
      <c r="C64" s="389"/>
      <c r="D64" s="389"/>
      <c r="E64" s="389"/>
      <c r="F64" s="389"/>
      <c r="G64" s="389"/>
      <c r="H64" s="345" t="s">
        <v>21</v>
      </c>
      <c r="I64" s="345" t="s">
        <v>22</v>
      </c>
      <c r="J64" s="48"/>
    </row>
    <row r="65" spans="1:11" x14ac:dyDescent="0.2">
      <c r="A65" s="345" t="s">
        <v>1</v>
      </c>
      <c r="B65" s="373" t="s">
        <v>63</v>
      </c>
      <c r="C65" s="373"/>
      <c r="D65" s="373"/>
      <c r="E65" s="373"/>
      <c r="F65" s="373"/>
      <c r="G65" s="373"/>
      <c r="H65" s="17">
        <v>4.1999999999999997E-3</v>
      </c>
      <c r="I65" s="16">
        <f>$I$28*H65</f>
        <v>5.3171999999999997</v>
      </c>
      <c r="J65" s="48"/>
    </row>
    <row r="66" spans="1:11" x14ac:dyDescent="0.2">
      <c r="A66" s="345" t="s">
        <v>3</v>
      </c>
      <c r="B66" s="373" t="s">
        <v>64</v>
      </c>
      <c r="C66" s="373"/>
      <c r="D66" s="373"/>
      <c r="E66" s="373"/>
      <c r="F66" s="373"/>
      <c r="G66" s="373"/>
      <c r="H66" s="17">
        <f>H45*H65</f>
        <v>3.3599999999999998E-4</v>
      </c>
      <c r="I66" s="5">
        <f>H66*I28</f>
        <v>0.42537599999999998</v>
      </c>
      <c r="J66" s="48"/>
    </row>
    <row r="67" spans="1:11" x14ac:dyDescent="0.2">
      <c r="A67" s="345" t="s">
        <v>5</v>
      </c>
      <c r="B67" s="373" t="s">
        <v>65</v>
      </c>
      <c r="C67" s="373"/>
      <c r="D67" s="373"/>
      <c r="E67" s="373"/>
      <c r="F67" s="373"/>
      <c r="G67" s="373"/>
      <c r="H67" s="18">
        <v>0.01</v>
      </c>
      <c r="I67" s="5">
        <f>$I$28*H67</f>
        <v>12.66</v>
      </c>
      <c r="J67" s="48"/>
    </row>
    <row r="68" spans="1:11" x14ac:dyDescent="0.2">
      <c r="A68" s="345" t="s">
        <v>7</v>
      </c>
      <c r="B68" s="373" t="s">
        <v>66</v>
      </c>
      <c r="C68" s="373"/>
      <c r="D68" s="373"/>
      <c r="E68" s="373"/>
      <c r="F68" s="373"/>
      <c r="G68" s="373"/>
      <c r="H68" s="46">
        <v>1.9400000000000001E-2</v>
      </c>
      <c r="I68" s="5">
        <f>$I$28*H68</f>
        <v>24.560400000000001</v>
      </c>
      <c r="J68" s="48"/>
    </row>
    <row r="69" spans="1:11" x14ac:dyDescent="0.2">
      <c r="A69" s="345" t="s">
        <v>27</v>
      </c>
      <c r="B69" s="373" t="s">
        <v>67</v>
      </c>
      <c r="C69" s="373"/>
      <c r="D69" s="373"/>
      <c r="E69" s="373"/>
      <c r="F69" s="373"/>
      <c r="G69" s="373"/>
      <c r="H69" s="19">
        <f>H46*H68</f>
        <v>6.947140000000001E-3</v>
      </c>
      <c r="I69" s="5">
        <f>$I$28*H69</f>
        <v>8.7950792400000015</v>
      </c>
      <c r="J69" s="48"/>
    </row>
    <row r="70" spans="1:11" x14ac:dyDescent="0.2">
      <c r="A70" s="345" t="s">
        <v>29</v>
      </c>
      <c r="B70" s="373" t="s">
        <v>68</v>
      </c>
      <c r="C70" s="373"/>
      <c r="D70" s="373"/>
      <c r="E70" s="373"/>
      <c r="F70" s="373"/>
      <c r="G70" s="373"/>
      <c r="H70" s="54">
        <v>2.1999999999999999E-2</v>
      </c>
      <c r="I70" s="5">
        <f>$I$28*H70</f>
        <v>27.851999999999997</v>
      </c>
      <c r="J70" s="48"/>
      <c r="K70" s="20"/>
    </row>
    <row r="71" spans="1:11" x14ac:dyDescent="0.2">
      <c r="A71" s="389" t="s">
        <v>69</v>
      </c>
      <c r="B71" s="389"/>
      <c r="C71" s="389"/>
      <c r="D71" s="389"/>
      <c r="E71" s="389"/>
      <c r="F71" s="389"/>
      <c r="G71" s="389"/>
      <c r="H71" s="12">
        <f>TRUNC(SUM(H65:H70),4)</f>
        <v>6.2799999999999995E-2</v>
      </c>
      <c r="I71" s="13">
        <f>(SUM(I65:I70))</f>
        <v>79.610055239999994</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345" t="s">
        <v>21</v>
      </c>
      <c r="I74" s="345" t="s">
        <v>22</v>
      </c>
      <c r="J74" s="48"/>
    </row>
    <row r="75" spans="1:11" x14ac:dyDescent="0.2">
      <c r="A75" s="345" t="s">
        <v>1</v>
      </c>
      <c r="B75" s="373" t="s">
        <v>186</v>
      </c>
      <c r="C75" s="373"/>
      <c r="D75" s="373"/>
      <c r="E75" s="373"/>
      <c r="F75" s="373"/>
      <c r="G75" s="373"/>
      <c r="H75" s="148">
        <v>8.3299999999999999E-2</v>
      </c>
      <c r="I75" s="5">
        <f t="shared" ref="I75:I80" si="1">$I$28*H75</f>
        <v>105.45779999999999</v>
      </c>
      <c r="J75" s="48"/>
    </row>
    <row r="76" spans="1:11" x14ac:dyDescent="0.2">
      <c r="A76" s="345" t="s">
        <v>3</v>
      </c>
      <c r="B76" s="373" t="s">
        <v>187</v>
      </c>
      <c r="C76" s="373"/>
      <c r="D76" s="373"/>
      <c r="E76" s="373"/>
      <c r="F76" s="373"/>
      <c r="G76" s="373"/>
      <c r="H76" s="148">
        <v>2.8E-3</v>
      </c>
      <c r="I76" s="16">
        <f t="shared" si="1"/>
        <v>3.5448</v>
      </c>
      <c r="J76" s="48"/>
    </row>
    <row r="77" spans="1:11" x14ac:dyDescent="0.2">
      <c r="A77" s="345" t="s">
        <v>5</v>
      </c>
      <c r="B77" s="373" t="s">
        <v>188</v>
      </c>
      <c r="C77" s="373"/>
      <c r="D77" s="373"/>
      <c r="E77" s="373"/>
      <c r="F77" s="373"/>
      <c r="G77" s="373"/>
      <c r="H77" s="17">
        <v>2.0000000000000001E-4</v>
      </c>
      <c r="I77" s="16">
        <f t="shared" si="1"/>
        <v>0.25320000000000004</v>
      </c>
      <c r="J77" s="48"/>
    </row>
    <row r="78" spans="1:11" x14ac:dyDescent="0.2">
      <c r="A78" s="345" t="s">
        <v>7</v>
      </c>
      <c r="B78" s="373" t="s">
        <v>189</v>
      </c>
      <c r="C78" s="373"/>
      <c r="D78" s="373"/>
      <c r="E78" s="373"/>
      <c r="F78" s="373"/>
      <c r="G78" s="373"/>
      <c r="H78" s="148">
        <v>2.9999999999999997E-4</v>
      </c>
      <c r="I78" s="16">
        <f t="shared" si="1"/>
        <v>0.37979999999999997</v>
      </c>
      <c r="J78" s="48"/>
    </row>
    <row r="79" spans="1:11" x14ac:dyDescent="0.2">
      <c r="A79" s="345" t="s">
        <v>27</v>
      </c>
      <c r="B79" s="373" t="s">
        <v>190</v>
      </c>
      <c r="C79" s="373"/>
      <c r="D79" s="373"/>
      <c r="E79" s="373"/>
      <c r="F79" s="373"/>
      <c r="G79" s="373"/>
      <c r="H79" s="17">
        <v>6.9999999999999999E-4</v>
      </c>
      <c r="I79" s="16">
        <f t="shared" si="1"/>
        <v>0.88619999999999999</v>
      </c>
      <c r="J79" s="48"/>
    </row>
    <row r="80" spans="1:11" x14ac:dyDescent="0.2">
      <c r="A80" s="345"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110.5218</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345" t="s">
        <v>21</v>
      </c>
      <c r="I83" s="345" t="s">
        <v>22</v>
      </c>
      <c r="J83" s="48"/>
    </row>
    <row r="84" spans="1:10" x14ac:dyDescent="0.2">
      <c r="A84" s="345"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345" t="s">
        <v>22</v>
      </c>
      <c r="J88" s="48"/>
    </row>
    <row r="89" spans="1:10" x14ac:dyDescent="0.2">
      <c r="A89" s="345" t="s">
        <v>77</v>
      </c>
      <c r="B89" s="370" t="s">
        <v>193</v>
      </c>
      <c r="C89" s="370"/>
      <c r="D89" s="370"/>
      <c r="E89" s="370"/>
      <c r="F89" s="370"/>
      <c r="G89" s="370"/>
      <c r="H89" s="370"/>
      <c r="I89" s="16">
        <f>I81</f>
        <v>110.5218</v>
      </c>
      <c r="J89" s="48"/>
    </row>
    <row r="90" spans="1:10" x14ac:dyDescent="0.2">
      <c r="A90" s="345" t="s">
        <v>78</v>
      </c>
      <c r="B90" s="370" t="s">
        <v>194</v>
      </c>
      <c r="C90" s="370"/>
      <c r="D90" s="370"/>
      <c r="E90" s="370"/>
      <c r="F90" s="370"/>
      <c r="G90" s="370"/>
      <c r="H90" s="370"/>
      <c r="I90" s="16">
        <f>I85</f>
        <v>0</v>
      </c>
      <c r="J90" s="48"/>
    </row>
    <row r="91" spans="1:10" x14ac:dyDescent="0.2">
      <c r="A91" s="345" t="s">
        <v>46</v>
      </c>
      <c r="B91" s="370" t="s">
        <v>195</v>
      </c>
      <c r="C91" s="370"/>
      <c r="D91" s="370"/>
      <c r="E91" s="370"/>
      <c r="F91" s="370"/>
      <c r="G91" s="370"/>
      <c r="H91" s="370"/>
      <c r="I91" s="16">
        <f>(H81*H46)*I89</f>
        <v>3.4551468794340008</v>
      </c>
      <c r="J91" s="48"/>
    </row>
    <row r="92" spans="1:10" x14ac:dyDescent="0.2">
      <c r="A92" s="389" t="s">
        <v>79</v>
      </c>
      <c r="B92" s="389"/>
      <c r="C92" s="389"/>
      <c r="D92" s="389"/>
      <c r="E92" s="389"/>
      <c r="F92" s="389"/>
      <c r="G92" s="389"/>
      <c r="H92" s="389"/>
      <c r="I92" s="13">
        <f>(SUM(I89:I90))</f>
        <v>110.5218</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345">
        <v>5</v>
      </c>
      <c r="B95" s="389" t="s">
        <v>81</v>
      </c>
      <c r="C95" s="389"/>
      <c r="D95" s="389"/>
      <c r="E95" s="389"/>
      <c r="F95" s="389"/>
      <c r="G95" s="389"/>
      <c r="H95" s="345"/>
      <c r="I95" s="345" t="s">
        <v>22</v>
      </c>
      <c r="J95" s="48"/>
    </row>
    <row r="96" spans="1:10" x14ac:dyDescent="0.2">
      <c r="A96" s="345" t="s">
        <v>1</v>
      </c>
      <c r="B96" s="393" t="s">
        <v>82</v>
      </c>
      <c r="C96" s="393"/>
      <c r="D96" s="393"/>
      <c r="E96" s="393"/>
      <c r="F96" s="393"/>
      <c r="G96" s="393"/>
      <c r="H96" s="340" t="s">
        <v>50</v>
      </c>
      <c r="I96" s="66">
        <f>UNIFORME!F10</f>
        <v>28.666666666666668</v>
      </c>
      <c r="J96" s="48"/>
    </row>
    <row r="97" spans="1:13" x14ac:dyDescent="0.2">
      <c r="A97" s="345" t="s">
        <v>3</v>
      </c>
      <c r="B97" s="393" t="s">
        <v>83</v>
      </c>
      <c r="C97" s="393"/>
      <c r="D97" s="393"/>
      <c r="E97" s="393"/>
      <c r="F97" s="393"/>
      <c r="G97" s="393"/>
      <c r="H97" s="340" t="s">
        <v>50</v>
      </c>
      <c r="I97" s="16">
        <f>MATERIAL!I38</f>
        <v>310.41666666666669</v>
      </c>
      <c r="J97" s="48"/>
    </row>
    <row r="98" spans="1:13" x14ac:dyDescent="0.2">
      <c r="A98" s="21" t="s">
        <v>5</v>
      </c>
      <c r="B98" s="393" t="s">
        <v>84</v>
      </c>
      <c r="C98" s="393"/>
      <c r="D98" s="393"/>
      <c r="E98" s="393"/>
      <c r="F98" s="393"/>
      <c r="G98" s="393"/>
      <c r="H98" s="340" t="s">
        <v>50</v>
      </c>
      <c r="I98" s="16">
        <f>MATERIAL!H28</f>
        <v>141.9375</v>
      </c>
      <c r="J98" s="48"/>
    </row>
    <row r="99" spans="1:13" x14ac:dyDescent="0.2">
      <c r="A99" s="21" t="s">
        <v>7</v>
      </c>
      <c r="B99" s="393" t="s">
        <v>435</v>
      </c>
      <c r="C99" s="393"/>
      <c r="D99" s="393"/>
      <c r="E99" s="393"/>
      <c r="F99" s="393"/>
      <c r="G99" s="393"/>
      <c r="H99" s="340" t="s">
        <v>50</v>
      </c>
      <c r="I99" s="16">
        <f>MATERIAL!H59</f>
        <v>20.76595744680851</v>
      </c>
      <c r="J99" s="48"/>
    </row>
    <row r="100" spans="1:13" x14ac:dyDescent="0.2">
      <c r="A100" s="389" t="s">
        <v>85</v>
      </c>
      <c r="B100" s="389"/>
      <c r="C100" s="389"/>
      <c r="D100" s="389"/>
      <c r="E100" s="389"/>
      <c r="F100" s="389"/>
      <c r="G100" s="389"/>
      <c r="H100" s="12" t="s">
        <v>50</v>
      </c>
      <c r="I100" s="13">
        <f>(SUM(I96:I99))</f>
        <v>501.78679078014187</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345">
        <v>6</v>
      </c>
      <c r="B103" s="389" t="s">
        <v>87</v>
      </c>
      <c r="C103" s="389"/>
      <c r="D103" s="389"/>
      <c r="E103" s="389"/>
      <c r="F103" s="389"/>
      <c r="G103" s="389"/>
      <c r="H103" s="345" t="s">
        <v>21</v>
      </c>
      <c r="I103" s="345" t="s">
        <v>22</v>
      </c>
      <c r="J103" s="48"/>
      <c r="K103" s="52">
        <f>'ANEXO VII'!M57</f>
        <v>197.15170301310718</v>
      </c>
    </row>
    <row r="104" spans="1:13" x14ac:dyDescent="0.2">
      <c r="A104" s="345" t="s">
        <v>1</v>
      </c>
      <c r="B104" s="373" t="s">
        <v>88</v>
      </c>
      <c r="C104" s="373"/>
      <c r="D104" s="373"/>
      <c r="E104" s="373"/>
      <c r="F104" s="373"/>
      <c r="G104" s="373"/>
      <c r="H104" s="22">
        <v>5.21E-2</v>
      </c>
      <c r="I104" s="16">
        <f>I120*H104</f>
        <v>153.4185335423754</v>
      </c>
      <c r="J104" s="48"/>
      <c r="M104" s="52"/>
    </row>
    <row r="105" spans="1:13" x14ac:dyDescent="0.2">
      <c r="A105" s="345" t="s">
        <v>3</v>
      </c>
      <c r="B105" s="373" t="s">
        <v>89</v>
      </c>
      <c r="C105" s="373"/>
      <c r="D105" s="373"/>
      <c r="E105" s="373"/>
      <c r="F105" s="373"/>
      <c r="G105" s="373"/>
      <c r="H105" s="22">
        <v>0.05</v>
      </c>
      <c r="I105" s="16">
        <f>(I120+I104)*H105</f>
        <v>154.90560378112588</v>
      </c>
      <c r="J105" s="48"/>
    </row>
    <row r="106" spans="1:13" x14ac:dyDescent="0.2">
      <c r="A106" s="345" t="s">
        <v>5</v>
      </c>
      <c r="B106" s="392" t="s">
        <v>90</v>
      </c>
      <c r="C106" s="392"/>
      <c r="D106" s="392"/>
      <c r="E106" s="392"/>
      <c r="F106" s="392"/>
      <c r="G106" s="392"/>
      <c r="H106" s="23">
        <f>H107+H108+H109</f>
        <v>8.6499999999999994E-2</v>
      </c>
      <c r="I106" s="24"/>
      <c r="J106" s="48"/>
    </row>
    <row r="107" spans="1:13" x14ac:dyDescent="0.2">
      <c r="A107" s="345" t="s">
        <v>91</v>
      </c>
      <c r="B107" s="373" t="s">
        <v>92</v>
      </c>
      <c r="C107" s="373"/>
      <c r="D107" s="373"/>
      <c r="E107" s="373"/>
      <c r="F107" s="373"/>
      <c r="G107" s="373"/>
      <c r="H107" s="25">
        <v>6.4999999999999997E-3</v>
      </c>
      <c r="I107" s="16">
        <f>K110*H107</f>
        <v>23.146814358099267</v>
      </c>
      <c r="J107" s="48"/>
      <c r="K107" s="65">
        <f>1-H106</f>
        <v>0.91349999999999998</v>
      </c>
    </row>
    <row r="108" spans="1:13" x14ac:dyDescent="0.2">
      <c r="A108" s="345" t="s">
        <v>93</v>
      </c>
      <c r="B108" s="373" t="s">
        <v>94</v>
      </c>
      <c r="C108" s="373"/>
      <c r="D108" s="373"/>
      <c r="E108" s="373"/>
      <c r="F108" s="373"/>
      <c r="G108" s="373"/>
      <c r="H108" s="25">
        <v>0.03</v>
      </c>
      <c r="I108" s="16">
        <f>K110*H108</f>
        <v>106.83145088353508</v>
      </c>
      <c r="J108" s="48"/>
      <c r="K108" s="45">
        <f>K107/1</f>
        <v>0.91349999999999998</v>
      </c>
    </row>
    <row r="109" spans="1:13" x14ac:dyDescent="0.2">
      <c r="A109" s="345" t="s">
        <v>95</v>
      </c>
      <c r="B109" s="373" t="s">
        <v>96</v>
      </c>
      <c r="C109" s="373"/>
      <c r="D109" s="373"/>
      <c r="E109" s="373"/>
      <c r="F109" s="373"/>
      <c r="G109" s="373"/>
      <c r="H109" s="26">
        <v>0.05</v>
      </c>
      <c r="I109" s="16">
        <f>K110*H109</f>
        <v>178.05241813922515</v>
      </c>
      <c r="J109" s="48"/>
      <c r="K109" s="20">
        <f>I120+I104+I105</f>
        <v>3253.0176794036433</v>
      </c>
    </row>
    <row r="110" spans="1:13" x14ac:dyDescent="0.2">
      <c r="A110" s="389" t="s">
        <v>97</v>
      </c>
      <c r="B110" s="389"/>
      <c r="C110" s="389"/>
      <c r="D110" s="389"/>
      <c r="E110" s="389"/>
      <c r="F110" s="389"/>
      <c r="G110" s="389"/>
      <c r="H110" s="25">
        <f>SUM(H104+H105+H106)</f>
        <v>0.18859999999999999</v>
      </c>
      <c r="I110" s="13">
        <f>(SUM(I104:I109))</f>
        <v>616.3548207043608</v>
      </c>
      <c r="J110" s="48"/>
      <c r="K110" s="20">
        <f>K109/K108</f>
        <v>3561.0483627845028</v>
      </c>
    </row>
    <row r="111" spans="1:13" x14ac:dyDescent="0.2">
      <c r="A111" s="342"/>
      <c r="B111" s="390"/>
      <c r="C111" s="390"/>
      <c r="D111" s="390"/>
      <c r="E111" s="390"/>
      <c r="F111" s="390"/>
      <c r="G111" s="390"/>
      <c r="H111" s="390"/>
      <c r="I111" s="390"/>
    </row>
    <row r="112" spans="1:13" x14ac:dyDescent="0.2">
      <c r="A112" s="342"/>
      <c r="B112" s="342"/>
      <c r="C112" s="342"/>
      <c r="D112" s="342"/>
      <c r="E112" s="342"/>
      <c r="F112" s="342"/>
      <c r="G112" s="342"/>
      <c r="H112" s="342"/>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345" t="s">
        <v>22</v>
      </c>
    </row>
    <row r="115" spans="1:12" x14ac:dyDescent="0.2">
      <c r="A115" s="340" t="s">
        <v>1</v>
      </c>
      <c r="B115" s="373" t="str">
        <f>A19</f>
        <v>MÓDULO 1 - COMPOSIÇÃO DA REMUNERAÇÃO</v>
      </c>
      <c r="C115" s="373"/>
      <c r="D115" s="373"/>
      <c r="E115" s="373"/>
      <c r="F115" s="373"/>
      <c r="G115" s="373"/>
      <c r="H115" s="373"/>
      <c r="I115" s="16">
        <f>I28</f>
        <v>1266</v>
      </c>
      <c r="K115" s="20"/>
      <c r="L115" s="53"/>
    </row>
    <row r="116" spans="1:12" x14ac:dyDescent="0.2">
      <c r="A116" s="340" t="s">
        <v>3</v>
      </c>
      <c r="B116" s="373" t="str">
        <f>A30</f>
        <v>MÓDULO 2 – ENCARGOS E BENEFÍCIOS ANUAIS, MENSAIS E DIÁRIOS</v>
      </c>
      <c r="C116" s="373"/>
      <c r="D116" s="373"/>
      <c r="E116" s="373"/>
      <c r="F116" s="373"/>
      <c r="G116" s="373"/>
      <c r="H116" s="373"/>
      <c r="I116" s="16">
        <f>I61</f>
        <v>986.77489606000017</v>
      </c>
    </row>
    <row r="117" spans="1:12" x14ac:dyDescent="0.2">
      <c r="A117" s="340" t="s">
        <v>5</v>
      </c>
      <c r="B117" s="373" t="str">
        <f>A63</f>
        <v>MÓDULO 3 – PROVISÃO PARA RESCISÃO</v>
      </c>
      <c r="C117" s="373"/>
      <c r="D117" s="373"/>
      <c r="E117" s="373"/>
      <c r="F117" s="373"/>
      <c r="G117" s="373"/>
      <c r="H117" s="373"/>
      <c r="I117" s="16">
        <f>I71</f>
        <v>79.610055239999994</v>
      </c>
    </row>
    <row r="118" spans="1:12" x14ac:dyDescent="0.2">
      <c r="A118" s="340" t="s">
        <v>7</v>
      </c>
      <c r="B118" s="373" t="str">
        <f>A73</f>
        <v>MÓDULO 4 – CUSTO DE REPOSIÇÃO DO PROFISSIONAL AUSENTE</v>
      </c>
      <c r="C118" s="373"/>
      <c r="D118" s="373"/>
      <c r="E118" s="373"/>
      <c r="F118" s="373"/>
      <c r="G118" s="373"/>
      <c r="H118" s="373"/>
      <c r="I118" s="16">
        <f>I92</f>
        <v>110.5218</v>
      </c>
    </row>
    <row r="119" spans="1:12" x14ac:dyDescent="0.2">
      <c r="A119" s="340" t="s">
        <v>27</v>
      </c>
      <c r="B119" s="373" t="str">
        <f>A94</f>
        <v>MÓDULO 5 – INSUMOS DIVERSOS</v>
      </c>
      <c r="C119" s="373"/>
      <c r="D119" s="373"/>
      <c r="E119" s="373"/>
      <c r="F119" s="373"/>
      <c r="G119" s="373"/>
      <c r="H119" s="373"/>
      <c r="I119" s="16">
        <f>I100</f>
        <v>501.78679078014187</v>
      </c>
    </row>
    <row r="120" spans="1:12" x14ac:dyDescent="0.2">
      <c r="A120" s="345"/>
      <c r="B120" s="389" t="s">
        <v>100</v>
      </c>
      <c r="C120" s="389"/>
      <c r="D120" s="389"/>
      <c r="E120" s="389"/>
      <c r="F120" s="389"/>
      <c r="G120" s="389"/>
      <c r="H120" s="389"/>
      <c r="I120" s="13">
        <f>(SUM(I115:I119))</f>
        <v>2944.6935420801419</v>
      </c>
    </row>
    <row r="121" spans="1:12" x14ac:dyDescent="0.2">
      <c r="A121" s="340" t="s">
        <v>29</v>
      </c>
      <c r="B121" s="373" t="str">
        <f>A102</f>
        <v>MÓDULO 6 – CUSTOS INDIRETOS, TRIBUTOS E LUCRO</v>
      </c>
      <c r="C121" s="373"/>
      <c r="D121" s="373"/>
      <c r="E121" s="373"/>
      <c r="F121" s="373"/>
      <c r="G121" s="373"/>
      <c r="H121" s="373"/>
      <c r="I121" s="5">
        <f>I110</f>
        <v>616.3548207043608</v>
      </c>
    </row>
    <row r="122" spans="1:12" x14ac:dyDescent="0.2">
      <c r="A122" s="389" t="s">
        <v>101</v>
      </c>
      <c r="B122" s="389"/>
      <c r="C122" s="389"/>
      <c r="D122" s="389"/>
      <c r="E122" s="389"/>
      <c r="F122" s="389"/>
      <c r="G122" s="389"/>
      <c r="H122" s="389"/>
      <c r="I122" s="13">
        <f>(SUM(I120:I121))</f>
        <v>3561.0483627845028</v>
      </c>
      <c r="K122" s="350"/>
    </row>
    <row r="123" spans="1:12" x14ac:dyDescent="0.2">
      <c r="I123" s="20"/>
      <c r="K123" s="350"/>
    </row>
    <row r="124" spans="1:12" hidden="1" x14ac:dyDescent="0.2">
      <c r="A124" s="342"/>
      <c r="B124" s="379" t="s">
        <v>102</v>
      </c>
      <c r="C124" s="379"/>
      <c r="D124" s="379"/>
      <c r="E124" s="379"/>
      <c r="F124" s="379"/>
      <c r="G124" s="379"/>
      <c r="H124" s="8"/>
      <c r="I124" s="8"/>
      <c r="K124" s="350"/>
    </row>
    <row r="125" spans="1:12" ht="40.5" hidden="1" customHeight="1" x14ac:dyDescent="0.2">
      <c r="A125" s="385" t="s">
        <v>103</v>
      </c>
      <c r="B125" s="385"/>
      <c r="C125" s="385" t="s">
        <v>104</v>
      </c>
      <c r="D125" s="385"/>
      <c r="E125" s="385" t="s">
        <v>105</v>
      </c>
      <c r="F125" s="385"/>
      <c r="G125" s="28" t="s">
        <v>106</v>
      </c>
      <c r="H125" s="344" t="s">
        <v>107</v>
      </c>
      <c r="I125" s="343"/>
      <c r="K125" s="350"/>
    </row>
    <row r="126" spans="1:12" hidden="1" x14ac:dyDescent="0.2">
      <c r="A126" s="386" t="s">
        <v>108</v>
      </c>
      <c r="B126" s="386"/>
      <c r="C126" s="387" t="s">
        <v>109</v>
      </c>
      <c r="D126" s="387"/>
      <c r="E126" s="388"/>
      <c r="F126" s="388"/>
      <c r="G126" s="29" t="s">
        <v>109</v>
      </c>
      <c r="H126" s="30"/>
      <c r="I126" s="31"/>
      <c r="K126" s="350"/>
    </row>
    <row r="127" spans="1:12" hidden="1" x14ac:dyDescent="0.2">
      <c r="A127" s="381" t="s">
        <v>110</v>
      </c>
      <c r="B127" s="381"/>
      <c r="C127" s="382" t="s">
        <v>109</v>
      </c>
      <c r="D127" s="382"/>
      <c r="E127" s="383"/>
      <c r="F127" s="383"/>
      <c r="G127" s="32" t="s">
        <v>109</v>
      </c>
      <c r="H127" s="33"/>
      <c r="I127" s="34"/>
      <c r="K127" s="350"/>
    </row>
    <row r="128" spans="1:12" hidden="1" x14ac:dyDescent="0.2">
      <c r="A128" s="381" t="s">
        <v>111</v>
      </c>
      <c r="B128" s="381"/>
      <c r="C128" s="382" t="s">
        <v>109</v>
      </c>
      <c r="D128" s="382"/>
      <c r="E128" s="383"/>
      <c r="F128" s="383"/>
      <c r="G128" s="32" t="s">
        <v>109</v>
      </c>
      <c r="H128" s="33"/>
      <c r="I128" s="34"/>
      <c r="K128" s="350"/>
    </row>
    <row r="129" spans="1:11" hidden="1" x14ac:dyDescent="0.2">
      <c r="A129" s="381" t="s">
        <v>112</v>
      </c>
      <c r="B129" s="381"/>
      <c r="C129" s="382" t="s">
        <v>109</v>
      </c>
      <c r="D129" s="382"/>
      <c r="E129" s="383"/>
      <c r="F129" s="383"/>
      <c r="G129" s="32" t="s">
        <v>109</v>
      </c>
      <c r="H129" s="33"/>
      <c r="I129" s="34"/>
      <c r="K129" s="350"/>
    </row>
    <row r="130" spans="1:11" hidden="1" x14ac:dyDescent="0.2">
      <c r="A130" s="384"/>
      <c r="B130" s="384"/>
      <c r="C130" s="383"/>
      <c r="D130" s="383"/>
      <c r="E130" s="383"/>
      <c r="F130" s="383"/>
      <c r="G130" s="35"/>
      <c r="H130" s="36"/>
      <c r="I130" s="34"/>
      <c r="K130" s="350"/>
    </row>
    <row r="131" spans="1:11" ht="13.5" hidden="1" thickBot="1" x14ac:dyDescent="0.25">
      <c r="A131" s="376"/>
      <c r="B131" s="376"/>
      <c r="C131" s="377"/>
      <c r="D131" s="377"/>
      <c r="E131" s="377"/>
      <c r="F131" s="377"/>
      <c r="G131" s="37"/>
      <c r="H131" s="38"/>
      <c r="I131" s="39"/>
      <c r="K131" s="350"/>
    </row>
    <row r="132" spans="1:11" ht="13.5" hidden="1" thickBot="1" x14ac:dyDescent="0.25">
      <c r="A132" s="378" t="s">
        <v>113</v>
      </c>
      <c r="B132" s="378"/>
      <c r="C132" s="378"/>
      <c r="D132" s="378"/>
      <c r="E132" s="378"/>
      <c r="F132" s="378"/>
      <c r="G132" s="378"/>
      <c r="H132" s="378"/>
      <c r="I132" s="40"/>
      <c r="K132" s="350"/>
    </row>
    <row r="133" spans="1:11" x14ac:dyDescent="0.2">
      <c r="I133" s="20"/>
    </row>
    <row r="134" spans="1:11" hidden="1" x14ac:dyDescent="0.2">
      <c r="A134" s="342"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341"/>
      <c r="B136" s="371" t="s">
        <v>117</v>
      </c>
      <c r="C136" s="371"/>
      <c r="D136" s="371"/>
      <c r="E136" s="371"/>
      <c r="F136" s="371"/>
      <c r="G136" s="371"/>
      <c r="H136" s="371"/>
      <c r="I136" s="343" t="s">
        <v>22</v>
      </c>
    </row>
    <row r="137" spans="1:11" hidden="1" x14ac:dyDescent="0.2">
      <c r="A137" s="41" t="s">
        <v>1</v>
      </c>
      <c r="B137" s="372" t="s">
        <v>118</v>
      </c>
      <c r="C137" s="372"/>
      <c r="D137" s="372"/>
      <c r="E137" s="372"/>
      <c r="F137" s="372"/>
      <c r="G137" s="372"/>
      <c r="H137" s="372"/>
      <c r="I137" s="42">
        <f>I107</f>
        <v>23.146814358099267</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616.3548207043608</v>
      </c>
    </row>
    <row r="140" spans="1:11" ht="13.5" hidden="1" thickBot="1" x14ac:dyDescent="0.25">
      <c r="A140" s="375" t="s">
        <v>121</v>
      </c>
      <c r="B140" s="375"/>
      <c r="C140" s="375"/>
      <c r="D140" s="375"/>
      <c r="E140" s="375"/>
      <c r="F140" s="375"/>
      <c r="G140" s="375"/>
      <c r="H140" s="375"/>
      <c r="I140" s="40" t="e">
        <f>SUM(I137:I139)</f>
        <v>#REF!</v>
      </c>
    </row>
    <row r="141" spans="1:11" hidden="1" x14ac:dyDescent="0.2">
      <c r="A141" s="342" t="s">
        <v>122</v>
      </c>
      <c r="B141" s="45" t="s">
        <v>123</v>
      </c>
    </row>
    <row r="143" spans="1:11" ht="15.75" thickBot="1" x14ac:dyDescent="0.25">
      <c r="A143" s="195" t="s">
        <v>242</v>
      </c>
      <c r="B143" s="195"/>
      <c r="C143" s="195"/>
      <c r="D143" s="195"/>
      <c r="E143" s="195"/>
      <c r="F143" s="195"/>
      <c r="G143" s="195"/>
      <c r="H143" s="195"/>
    </row>
    <row r="144" spans="1:11" ht="15" x14ac:dyDescent="0.2">
      <c r="A144" s="419" t="s">
        <v>243</v>
      </c>
      <c r="B144" s="420"/>
      <c r="C144" s="421"/>
      <c r="D144" s="196" t="s">
        <v>244</v>
      </c>
      <c r="E144" s="419" t="s">
        <v>245</v>
      </c>
      <c r="F144" s="421"/>
      <c r="G144" s="419" t="s">
        <v>246</v>
      </c>
      <c r="H144" s="421"/>
    </row>
    <row r="145" spans="1:8" ht="15.75" thickBot="1" x14ac:dyDescent="0.25">
      <c r="A145" s="197"/>
      <c r="B145" s="198"/>
      <c r="C145" s="199"/>
      <c r="D145" s="200" t="s">
        <v>247</v>
      </c>
      <c r="E145" s="422" t="s">
        <v>248</v>
      </c>
      <c r="F145" s="423"/>
      <c r="G145" s="422" t="s">
        <v>249</v>
      </c>
      <c r="H145" s="423"/>
    </row>
    <row r="146" spans="1:8" ht="15.75" thickBot="1" x14ac:dyDescent="0.25">
      <c r="A146" s="201" t="s">
        <v>134</v>
      </c>
      <c r="B146" s="202"/>
      <c r="C146" s="202"/>
      <c r="D146" s="203">
        <f>1/(30*2250)</f>
        <v>1.4814814814814815E-5</v>
      </c>
      <c r="E146" s="424">
        <v>0</v>
      </c>
      <c r="F146" s="425"/>
      <c r="G146" s="426">
        <f>D146*E146</f>
        <v>0</v>
      </c>
      <c r="H146" s="427"/>
    </row>
    <row r="147" spans="1:8" ht="15.75" thickBot="1" x14ac:dyDescent="0.25">
      <c r="A147" s="204" t="s">
        <v>140</v>
      </c>
      <c r="B147" s="205"/>
      <c r="C147" s="205"/>
      <c r="D147" s="206">
        <f>1/2250</f>
        <v>4.4444444444444447E-4</v>
      </c>
      <c r="E147" s="428">
        <f>I122</f>
        <v>3561.0483627845028</v>
      </c>
      <c r="F147" s="418"/>
      <c r="G147" s="426">
        <f>D147*E147</f>
        <v>1.582688161237557</v>
      </c>
      <c r="H147" s="427"/>
    </row>
    <row r="148" spans="1:8" ht="15.75" thickBot="1" x14ac:dyDescent="0.25">
      <c r="A148" s="417" t="s">
        <v>250</v>
      </c>
      <c r="B148" s="418"/>
      <c r="C148" s="418"/>
      <c r="D148" s="418"/>
      <c r="E148" s="418"/>
      <c r="F148" s="418"/>
      <c r="G148" s="204"/>
      <c r="H148" s="207">
        <f>SUM(G146:H147)</f>
        <v>1.582688161237557</v>
      </c>
    </row>
  </sheetData>
  <mergeCells count="181">
    <mergeCell ref="B4:H4"/>
    <mergeCell ref="L4:M4"/>
    <mergeCell ref="N4:Q4"/>
    <mergeCell ref="R4:S4"/>
    <mergeCell ref="B5:H5"/>
    <mergeCell ref="K5:S5"/>
    <mergeCell ref="A2:I2"/>
    <mergeCell ref="K2:S2"/>
    <mergeCell ref="B3:H3"/>
    <mergeCell ref="L3:M3"/>
    <mergeCell ref="N3:Q3"/>
    <mergeCell ref="R3:S3"/>
    <mergeCell ref="B6:H6"/>
    <mergeCell ref="K6:S6"/>
    <mergeCell ref="K7:S7"/>
    <mergeCell ref="A8:I8"/>
    <mergeCell ref="K8:S8"/>
    <mergeCell ref="A9:B9"/>
    <mergeCell ref="C9:D9"/>
    <mergeCell ref="E9:I9"/>
    <mergeCell ref="L9:Q9"/>
    <mergeCell ref="R9:S9"/>
    <mergeCell ref="A12:I12"/>
    <mergeCell ref="L12:Q12"/>
    <mergeCell ref="R12:S12"/>
    <mergeCell ref="B13:H13"/>
    <mergeCell ref="B14:H14"/>
    <mergeCell ref="B15:H15"/>
    <mergeCell ref="A10:B10"/>
    <mergeCell ref="C10:D10"/>
    <mergeCell ref="E10:I10"/>
    <mergeCell ref="L10:Q10"/>
    <mergeCell ref="R10:S10"/>
    <mergeCell ref="L11:Q11"/>
    <mergeCell ref="R11:S11"/>
    <mergeCell ref="B22:G22"/>
    <mergeCell ref="B23:G23"/>
    <mergeCell ref="B24:G24"/>
    <mergeCell ref="B25:G25"/>
    <mergeCell ref="B26:G26"/>
    <mergeCell ref="B27:G27"/>
    <mergeCell ref="B16:H16"/>
    <mergeCell ref="B17:H17"/>
    <mergeCell ref="A18:I18"/>
    <mergeCell ref="A19:I19"/>
    <mergeCell ref="B20:G20"/>
    <mergeCell ref="B21:G21"/>
    <mergeCell ref="K37:K45"/>
    <mergeCell ref="B38:G38"/>
    <mergeCell ref="B39:G39"/>
    <mergeCell ref="B40:G40"/>
    <mergeCell ref="B41:G41"/>
    <mergeCell ref="B42:G42"/>
    <mergeCell ref="B43:G43"/>
    <mergeCell ref="A28:H28"/>
    <mergeCell ref="A30:I30"/>
    <mergeCell ref="A31:G31"/>
    <mergeCell ref="B32:G32"/>
    <mergeCell ref="B33:G33"/>
    <mergeCell ref="B34:G34"/>
    <mergeCell ref="B44:G44"/>
    <mergeCell ref="B45:G45"/>
    <mergeCell ref="A46:G46"/>
    <mergeCell ref="A47:I47"/>
    <mergeCell ref="A48:G48"/>
    <mergeCell ref="B49:G49"/>
    <mergeCell ref="A35:G35"/>
    <mergeCell ref="A36:I36"/>
    <mergeCell ref="A37:G37"/>
    <mergeCell ref="A56:I56"/>
    <mergeCell ref="A57:H57"/>
    <mergeCell ref="B58:H58"/>
    <mergeCell ref="B59:H59"/>
    <mergeCell ref="B60:H60"/>
    <mergeCell ref="A61:H61"/>
    <mergeCell ref="B50:G50"/>
    <mergeCell ref="B51:G51"/>
    <mergeCell ref="B52:G52"/>
    <mergeCell ref="B53:G53"/>
    <mergeCell ref="A54:H54"/>
    <mergeCell ref="A55:I55"/>
    <mergeCell ref="B68:G68"/>
    <mergeCell ref="B69:G69"/>
    <mergeCell ref="B70:G70"/>
    <mergeCell ref="A71:G71"/>
    <mergeCell ref="A72:I72"/>
    <mergeCell ref="A73:I73"/>
    <mergeCell ref="A62:I62"/>
    <mergeCell ref="A63:I63"/>
    <mergeCell ref="B64:G64"/>
    <mergeCell ref="B65:G65"/>
    <mergeCell ref="B66:G66"/>
    <mergeCell ref="B67:G67"/>
    <mergeCell ref="B80:G80"/>
    <mergeCell ref="A81:G81"/>
    <mergeCell ref="A82:I82"/>
    <mergeCell ref="A83:G83"/>
    <mergeCell ref="B84:G84"/>
    <mergeCell ref="A85:G85"/>
    <mergeCell ref="A74:G74"/>
    <mergeCell ref="B75:G75"/>
    <mergeCell ref="B76:G76"/>
    <mergeCell ref="B77:G77"/>
    <mergeCell ref="B78:G78"/>
    <mergeCell ref="B79:G79"/>
    <mergeCell ref="A92:H92"/>
    <mergeCell ref="A93:I93"/>
    <mergeCell ref="A94:I94"/>
    <mergeCell ref="B95:G95"/>
    <mergeCell ref="B96:G96"/>
    <mergeCell ref="B97:G97"/>
    <mergeCell ref="A86:I86"/>
    <mergeCell ref="A87:I87"/>
    <mergeCell ref="A88:H88"/>
    <mergeCell ref="B89:H89"/>
    <mergeCell ref="B90:H90"/>
    <mergeCell ref="B91:H91"/>
    <mergeCell ref="B104:G104"/>
    <mergeCell ref="B105:G105"/>
    <mergeCell ref="B106:G106"/>
    <mergeCell ref="B107:G107"/>
    <mergeCell ref="B108:G108"/>
    <mergeCell ref="B109:G109"/>
    <mergeCell ref="B98:G98"/>
    <mergeCell ref="B99:G99"/>
    <mergeCell ref="A100:G100"/>
    <mergeCell ref="A101:I101"/>
    <mergeCell ref="A102:I102"/>
    <mergeCell ref="B103:G103"/>
    <mergeCell ref="B117:H117"/>
    <mergeCell ref="B118:H118"/>
    <mergeCell ref="B119:H119"/>
    <mergeCell ref="B120:H120"/>
    <mergeCell ref="B121:H121"/>
    <mergeCell ref="A122:H122"/>
    <mergeCell ref="A110:G110"/>
    <mergeCell ref="B111:I111"/>
    <mergeCell ref="A113:I113"/>
    <mergeCell ref="A114:H114"/>
    <mergeCell ref="B115:H115"/>
    <mergeCell ref="B116:H116"/>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48:F148"/>
    <mergeCell ref="E145:F145"/>
    <mergeCell ref="G145:H145"/>
    <mergeCell ref="E146:F146"/>
    <mergeCell ref="G146:H146"/>
    <mergeCell ref="E147:F147"/>
    <mergeCell ref="G147:H147"/>
    <mergeCell ref="B136:H136"/>
    <mergeCell ref="B137:H137"/>
    <mergeCell ref="B138:H138"/>
    <mergeCell ref="B139:H139"/>
    <mergeCell ref="A140:H140"/>
    <mergeCell ref="A144:C144"/>
    <mergeCell ref="E144:F144"/>
    <mergeCell ref="G144:H144"/>
  </mergeCells>
  <pageMargins left="0.25" right="0.25" top="0.75" bottom="0.75" header="0.3" footer="0.3"/>
  <pageSetup paperSize="9" firstPageNumber="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5BC94-F385-4B12-AECB-C51C82F401E5}">
  <sheetPr>
    <tabColor rgb="FFFFFF00"/>
  </sheetPr>
  <dimension ref="A2:S141"/>
  <sheetViews>
    <sheetView tabSelected="1" topLeftCell="A92" zoomScale="118" zoomScaleNormal="118" workbookViewId="0">
      <selection activeCell="I104" sqref="I104"/>
    </sheetView>
  </sheetViews>
  <sheetFormatPr defaultColWidth="9.140625" defaultRowHeight="12.75" x14ac:dyDescent="0.2"/>
  <cols>
    <col min="1"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437" t="s">
        <v>0</v>
      </c>
      <c r="B2" s="437"/>
      <c r="C2" s="437"/>
      <c r="D2" s="437"/>
      <c r="E2" s="437"/>
      <c r="F2" s="437"/>
      <c r="G2" s="437"/>
      <c r="H2" s="437"/>
      <c r="I2" s="437"/>
      <c r="K2" s="438"/>
      <c r="L2" s="438"/>
      <c r="M2" s="438"/>
      <c r="N2" s="438"/>
      <c r="O2" s="438"/>
      <c r="P2" s="438"/>
      <c r="Q2" s="438"/>
      <c r="R2" s="438"/>
      <c r="S2" s="438"/>
    </row>
    <row r="3" spans="1:19" x14ac:dyDescent="0.2">
      <c r="A3" s="136" t="s">
        <v>1</v>
      </c>
      <c r="B3" s="433" t="s">
        <v>2</v>
      </c>
      <c r="C3" s="433"/>
      <c r="D3" s="433"/>
      <c r="E3" s="433"/>
      <c r="F3" s="433"/>
      <c r="G3" s="433"/>
      <c r="H3" s="433"/>
      <c r="I3" s="151">
        <v>44182</v>
      </c>
      <c r="K3" s="152"/>
      <c r="L3" s="435"/>
      <c r="M3" s="435"/>
      <c r="N3" s="435"/>
      <c r="O3" s="435"/>
      <c r="P3" s="435"/>
      <c r="Q3" s="435"/>
      <c r="R3" s="439"/>
      <c r="S3" s="439"/>
    </row>
    <row r="4" spans="1:19" x14ac:dyDescent="0.2">
      <c r="A4" s="136" t="s">
        <v>3</v>
      </c>
      <c r="B4" s="433" t="s">
        <v>4</v>
      </c>
      <c r="C4" s="433"/>
      <c r="D4" s="433"/>
      <c r="E4" s="433"/>
      <c r="F4" s="433"/>
      <c r="G4" s="433"/>
      <c r="H4" s="433"/>
      <c r="I4" s="136" t="s">
        <v>183</v>
      </c>
      <c r="K4" s="152"/>
      <c r="L4" s="434"/>
      <c r="M4" s="434"/>
      <c r="N4" s="435"/>
      <c r="O4" s="435"/>
      <c r="P4" s="435"/>
      <c r="Q4" s="435"/>
      <c r="R4" s="435"/>
      <c r="S4" s="435"/>
    </row>
    <row r="5" spans="1:19" x14ac:dyDescent="0.2">
      <c r="A5" s="136" t="s">
        <v>5</v>
      </c>
      <c r="B5" s="433" t="s">
        <v>6</v>
      </c>
      <c r="C5" s="433"/>
      <c r="D5" s="433"/>
      <c r="E5" s="433"/>
      <c r="F5" s="433"/>
      <c r="G5" s="433"/>
      <c r="H5" s="433"/>
      <c r="I5" s="136">
        <v>2020</v>
      </c>
      <c r="K5" s="436"/>
      <c r="L5" s="436"/>
      <c r="M5" s="436"/>
      <c r="N5" s="436"/>
      <c r="O5" s="436"/>
      <c r="P5" s="436"/>
      <c r="Q5" s="436"/>
      <c r="R5" s="436"/>
      <c r="S5" s="436"/>
    </row>
    <row r="6" spans="1:19" x14ac:dyDescent="0.2">
      <c r="A6" s="136" t="s">
        <v>7</v>
      </c>
      <c r="B6" s="433" t="s">
        <v>8</v>
      </c>
      <c r="C6" s="433"/>
      <c r="D6" s="433"/>
      <c r="E6" s="433"/>
      <c r="F6" s="433"/>
      <c r="G6" s="433"/>
      <c r="H6" s="433"/>
      <c r="I6" s="136">
        <v>12</v>
      </c>
      <c r="K6" s="436"/>
      <c r="L6" s="436"/>
      <c r="M6" s="436"/>
      <c r="N6" s="436"/>
      <c r="O6" s="436"/>
      <c r="P6" s="436"/>
      <c r="Q6" s="436"/>
      <c r="R6" s="436"/>
      <c r="S6" s="436"/>
    </row>
    <row r="7" spans="1:19" x14ac:dyDescent="0.2">
      <c r="A7" s="135"/>
      <c r="B7" s="153"/>
      <c r="C7" s="153"/>
      <c r="D7" s="153"/>
      <c r="E7" s="153"/>
      <c r="F7" s="153"/>
      <c r="G7" s="153"/>
      <c r="H7" s="135"/>
      <c r="I7" s="135"/>
      <c r="K7" s="436"/>
      <c r="L7" s="436"/>
      <c r="M7" s="436"/>
      <c r="N7" s="436"/>
      <c r="O7" s="436"/>
      <c r="P7" s="436"/>
      <c r="Q7" s="436"/>
      <c r="R7" s="436"/>
      <c r="S7" s="436"/>
    </row>
    <row r="8" spans="1:19" x14ac:dyDescent="0.2">
      <c r="A8" s="437" t="s">
        <v>9</v>
      </c>
      <c r="B8" s="437"/>
      <c r="C8" s="437"/>
      <c r="D8" s="437"/>
      <c r="E8" s="437"/>
      <c r="F8" s="437"/>
      <c r="G8" s="437"/>
      <c r="H8" s="437"/>
      <c r="I8" s="437"/>
      <c r="K8" s="438"/>
      <c r="L8" s="438"/>
      <c r="M8" s="438"/>
      <c r="N8" s="438"/>
      <c r="O8" s="438"/>
      <c r="P8" s="438"/>
      <c r="Q8" s="438"/>
      <c r="R8" s="438"/>
      <c r="S8" s="438"/>
    </row>
    <row r="9" spans="1:19" x14ac:dyDescent="0.2">
      <c r="A9" s="441" t="s">
        <v>10</v>
      </c>
      <c r="B9" s="441"/>
      <c r="C9" s="441" t="s">
        <v>11</v>
      </c>
      <c r="D9" s="441"/>
      <c r="E9" s="441" t="s">
        <v>12</v>
      </c>
      <c r="F9" s="441"/>
      <c r="G9" s="441"/>
      <c r="H9" s="441"/>
      <c r="I9" s="441"/>
      <c r="K9" s="152"/>
      <c r="L9" s="443"/>
      <c r="M9" s="443"/>
      <c r="N9" s="443"/>
      <c r="O9" s="443"/>
      <c r="P9" s="443"/>
      <c r="Q9" s="443"/>
      <c r="R9" s="435"/>
      <c r="S9" s="435"/>
    </row>
    <row r="10" spans="1:19" ht="27" customHeight="1" x14ac:dyDescent="0.2">
      <c r="A10" s="440" t="s">
        <v>134</v>
      </c>
      <c r="B10" s="440"/>
      <c r="C10" s="441"/>
      <c r="D10" s="441"/>
      <c r="E10" s="441">
        <v>1</v>
      </c>
      <c r="F10" s="441"/>
      <c r="G10" s="441"/>
      <c r="H10" s="441"/>
      <c r="I10" s="441"/>
      <c r="K10" s="154"/>
      <c r="L10" s="442"/>
      <c r="M10" s="442"/>
      <c r="N10" s="442"/>
      <c r="O10" s="442"/>
      <c r="P10" s="442"/>
      <c r="Q10" s="442"/>
      <c r="R10" s="413"/>
      <c r="S10" s="413"/>
    </row>
    <row r="11" spans="1:19" x14ac:dyDescent="0.2">
      <c r="A11" s="135"/>
      <c r="B11" s="153"/>
      <c r="C11" s="153"/>
      <c r="D11" s="153"/>
      <c r="E11" s="153"/>
      <c r="F11" s="153"/>
      <c r="G11" s="153"/>
      <c r="H11" s="135"/>
      <c r="I11" s="135"/>
      <c r="K11" s="152"/>
      <c r="L11" s="443"/>
      <c r="M11" s="443"/>
      <c r="N11" s="443"/>
      <c r="O11" s="443"/>
      <c r="P11" s="443"/>
      <c r="Q11" s="443"/>
      <c r="R11" s="434"/>
      <c r="S11" s="434"/>
    </row>
    <row r="12" spans="1:19" x14ac:dyDescent="0.2">
      <c r="A12" s="437" t="s">
        <v>13</v>
      </c>
      <c r="B12" s="437"/>
      <c r="C12" s="437"/>
      <c r="D12" s="437"/>
      <c r="E12" s="437"/>
      <c r="F12" s="437"/>
      <c r="G12" s="437"/>
      <c r="H12" s="437"/>
      <c r="I12" s="437"/>
      <c r="K12" s="154"/>
      <c r="L12" s="442"/>
      <c r="M12" s="442"/>
      <c r="N12" s="442"/>
      <c r="O12" s="442"/>
      <c r="P12" s="442"/>
      <c r="Q12" s="442"/>
      <c r="R12" s="446"/>
      <c r="S12" s="446"/>
    </row>
    <row r="13" spans="1:19" x14ac:dyDescent="0.2">
      <c r="A13" s="136">
        <v>1</v>
      </c>
      <c r="B13" s="433" t="s">
        <v>14</v>
      </c>
      <c r="C13" s="433"/>
      <c r="D13" s="433"/>
      <c r="E13" s="433"/>
      <c r="F13" s="433"/>
      <c r="G13" s="433"/>
      <c r="H13" s="433"/>
      <c r="I13" s="136" t="s">
        <v>184</v>
      </c>
    </row>
    <row r="14" spans="1:19" x14ac:dyDescent="0.2">
      <c r="A14" s="136">
        <v>2</v>
      </c>
      <c r="B14" s="433" t="s">
        <v>15</v>
      </c>
      <c r="C14" s="433"/>
      <c r="D14" s="433"/>
      <c r="E14" s="433"/>
      <c r="F14" s="433"/>
      <c r="G14" s="433"/>
      <c r="H14" s="433"/>
      <c r="I14" s="136"/>
    </row>
    <row r="15" spans="1:19" x14ac:dyDescent="0.2">
      <c r="A15" s="136">
        <v>3</v>
      </c>
      <c r="B15" s="433" t="s">
        <v>16</v>
      </c>
      <c r="C15" s="433"/>
      <c r="D15" s="433"/>
      <c r="E15" s="433"/>
      <c r="F15" s="433"/>
      <c r="G15" s="433"/>
      <c r="H15" s="433"/>
      <c r="I15" s="155">
        <v>1502.5</v>
      </c>
    </row>
    <row r="16" spans="1:19" x14ac:dyDescent="0.2">
      <c r="A16" s="136">
        <v>4</v>
      </c>
      <c r="B16" s="433" t="s">
        <v>17</v>
      </c>
      <c r="C16" s="433"/>
      <c r="D16" s="433"/>
      <c r="E16" s="433"/>
      <c r="F16" s="433"/>
      <c r="G16" s="433"/>
      <c r="H16" s="433"/>
      <c r="I16" s="151" t="str">
        <f>A10</f>
        <v>ENCARREGADO</v>
      </c>
    </row>
    <row r="17" spans="1:12" x14ac:dyDescent="0.2">
      <c r="A17" s="136">
        <v>5</v>
      </c>
      <c r="B17" s="433" t="s">
        <v>18</v>
      </c>
      <c r="C17" s="433"/>
      <c r="D17" s="433"/>
      <c r="E17" s="433"/>
      <c r="F17" s="433"/>
      <c r="G17" s="433"/>
      <c r="H17" s="433"/>
      <c r="I17" s="151"/>
    </row>
    <row r="18" spans="1:12" x14ac:dyDescent="0.2">
      <c r="A18" s="444"/>
      <c r="B18" s="444"/>
      <c r="C18" s="444"/>
      <c r="D18" s="444"/>
      <c r="E18" s="444"/>
      <c r="F18" s="444"/>
      <c r="G18" s="444"/>
      <c r="H18" s="444"/>
      <c r="I18" s="444"/>
    </row>
    <row r="19" spans="1:12" x14ac:dyDescent="0.2">
      <c r="A19" s="437" t="s">
        <v>19</v>
      </c>
      <c r="B19" s="437"/>
      <c r="C19" s="437"/>
      <c r="D19" s="437"/>
      <c r="E19" s="437"/>
      <c r="F19" s="437"/>
      <c r="G19" s="437"/>
      <c r="H19" s="437"/>
      <c r="I19" s="437"/>
    </row>
    <row r="20" spans="1:12" x14ac:dyDescent="0.2">
      <c r="A20" s="156">
        <v>1</v>
      </c>
      <c r="B20" s="445" t="s">
        <v>20</v>
      </c>
      <c r="C20" s="445"/>
      <c r="D20" s="445"/>
      <c r="E20" s="445"/>
      <c r="F20" s="445"/>
      <c r="G20" s="445"/>
      <c r="H20" s="156" t="s">
        <v>21</v>
      </c>
      <c r="I20" s="156" t="s">
        <v>22</v>
      </c>
    </row>
    <row r="21" spans="1:12" x14ac:dyDescent="0.2">
      <c r="A21" s="156" t="s">
        <v>1</v>
      </c>
      <c r="B21" s="433" t="s">
        <v>23</v>
      </c>
      <c r="C21" s="433"/>
      <c r="D21" s="433"/>
      <c r="E21" s="433"/>
      <c r="F21" s="433"/>
      <c r="G21" s="433"/>
      <c r="H21" s="157"/>
      <c r="I21" s="158">
        <f>I15</f>
        <v>1502.5</v>
      </c>
      <c r="L21" s="20">
        <f>I35+I46+I71+I81</f>
        <v>1163.6061967999999</v>
      </c>
    </row>
    <row r="22" spans="1:12" x14ac:dyDescent="0.2">
      <c r="A22" s="156" t="s">
        <v>3</v>
      </c>
      <c r="B22" s="433" t="s">
        <v>24</v>
      </c>
      <c r="C22" s="433"/>
      <c r="D22" s="433"/>
      <c r="E22" s="433"/>
      <c r="F22" s="433"/>
      <c r="G22" s="433"/>
      <c r="H22" s="159"/>
      <c r="I22" s="158">
        <v>0</v>
      </c>
      <c r="L22" s="53">
        <f>L21/I28</f>
        <v>0.77444671999999992</v>
      </c>
    </row>
    <row r="23" spans="1:12" x14ac:dyDescent="0.2">
      <c r="A23" s="156" t="s">
        <v>5</v>
      </c>
      <c r="B23" s="433" t="s">
        <v>25</v>
      </c>
      <c r="C23" s="433"/>
      <c r="D23" s="433"/>
      <c r="E23" s="433"/>
      <c r="F23" s="433"/>
      <c r="G23" s="433"/>
      <c r="H23" s="159">
        <v>0</v>
      </c>
      <c r="I23" s="158">
        <f>I21*H23</f>
        <v>0</v>
      </c>
    </row>
    <row r="24" spans="1:12" x14ac:dyDescent="0.2">
      <c r="A24" s="156" t="s">
        <v>7</v>
      </c>
      <c r="B24" s="433" t="s">
        <v>26</v>
      </c>
      <c r="C24" s="433"/>
      <c r="D24" s="433"/>
      <c r="E24" s="433"/>
      <c r="F24" s="433"/>
      <c r="G24" s="433"/>
      <c r="H24" s="159"/>
      <c r="I24" s="158">
        <v>0</v>
      </c>
    </row>
    <row r="25" spans="1:12" x14ac:dyDescent="0.2">
      <c r="A25" s="156" t="s">
        <v>27</v>
      </c>
      <c r="B25" s="433" t="s">
        <v>28</v>
      </c>
      <c r="C25" s="433"/>
      <c r="D25" s="433"/>
      <c r="E25" s="433"/>
      <c r="F25" s="433"/>
      <c r="G25" s="433"/>
      <c r="H25" s="159"/>
      <c r="I25" s="158">
        <v>0</v>
      </c>
    </row>
    <row r="26" spans="1:12" x14ac:dyDescent="0.2">
      <c r="A26" s="156" t="s">
        <v>29</v>
      </c>
      <c r="B26" s="433" t="s">
        <v>30</v>
      </c>
      <c r="C26" s="433"/>
      <c r="D26" s="433"/>
      <c r="E26" s="433"/>
      <c r="F26" s="433"/>
      <c r="G26" s="433"/>
      <c r="H26" s="159"/>
      <c r="I26" s="158">
        <v>0</v>
      </c>
    </row>
    <row r="27" spans="1:12" x14ac:dyDescent="0.2">
      <c r="A27" s="156" t="s">
        <v>31</v>
      </c>
      <c r="B27" s="433" t="s">
        <v>32</v>
      </c>
      <c r="C27" s="433"/>
      <c r="D27" s="433"/>
      <c r="E27" s="433"/>
      <c r="F27" s="433"/>
      <c r="G27" s="433"/>
      <c r="H27" s="159"/>
      <c r="I27" s="158">
        <v>0</v>
      </c>
    </row>
    <row r="28" spans="1:12" x14ac:dyDescent="0.2">
      <c r="A28" s="445" t="s">
        <v>33</v>
      </c>
      <c r="B28" s="445"/>
      <c r="C28" s="445"/>
      <c r="D28" s="445"/>
      <c r="E28" s="445"/>
      <c r="F28" s="445"/>
      <c r="G28" s="445"/>
      <c r="H28" s="445"/>
      <c r="I28" s="160">
        <f>(SUM(I21:I27))</f>
        <v>1502.5</v>
      </c>
    </row>
    <row r="29" spans="1:12" x14ac:dyDescent="0.2">
      <c r="A29" s="161"/>
      <c r="B29" s="161"/>
      <c r="C29" s="161"/>
      <c r="D29" s="161"/>
      <c r="E29" s="161"/>
      <c r="F29" s="161"/>
      <c r="G29" s="161"/>
      <c r="H29" s="161"/>
      <c r="I29" s="162"/>
    </row>
    <row r="30" spans="1:12" x14ac:dyDescent="0.2">
      <c r="A30" s="437" t="s">
        <v>34</v>
      </c>
      <c r="B30" s="437"/>
      <c r="C30" s="437"/>
      <c r="D30" s="437"/>
      <c r="E30" s="437"/>
      <c r="F30" s="437"/>
      <c r="G30" s="437"/>
      <c r="H30" s="437"/>
      <c r="I30" s="437"/>
    </row>
    <row r="31" spans="1:12" x14ac:dyDescent="0.2">
      <c r="A31" s="445" t="s">
        <v>35</v>
      </c>
      <c r="B31" s="445"/>
      <c r="C31" s="445"/>
      <c r="D31" s="445"/>
      <c r="E31" s="445"/>
      <c r="F31" s="445"/>
      <c r="G31" s="445"/>
      <c r="H31" s="156" t="s">
        <v>21</v>
      </c>
      <c r="I31" s="156" t="s">
        <v>22</v>
      </c>
    </row>
    <row r="32" spans="1:12" x14ac:dyDescent="0.2">
      <c r="A32" s="156" t="s">
        <v>1</v>
      </c>
      <c r="B32" s="433" t="s">
        <v>36</v>
      </c>
      <c r="C32" s="433"/>
      <c r="D32" s="433"/>
      <c r="E32" s="433"/>
      <c r="F32" s="433"/>
      <c r="G32" s="433"/>
      <c r="H32" s="163">
        <v>8.3299999999999999E-2</v>
      </c>
      <c r="I32" s="158">
        <f>$I$28*H32</f>
        <v>125.15825</v>
      </c>
    </row>
    <row r="33" spans="1:11" x14ac:dyDescent="0.2">
      <c r="A33" s="156" t="s">
        <v>3</v>
      </c>
      <c r="B33" s="433" t="s">
        <v>185</v>
      </c>
      <c r="C33" s="433"/>
      <c r="D33" s="433"/>
      <c r="E33" s="433"/>
      <c r="F33" s="433"/>
      <c r="G33" s="433"/>
      <c r="H33" s="163">
        <v>0.121</v>
      </c>
      <c r="I33" s="158">
        <f>H33*I28</f>
        <v>181.80249999999998</v>
      </c>
    </row>
    <row r="34" spans="1:11" x14ac:dyDescent="0.2">
      <c r="A34" s="156" t="s">
        <v>132</v>
      </c>
      <c r="B34" s="433" t="s">
        <v>133</v>
      </c>
      <c r="C34" s="433"/>
      <c r="D34" s="433"/>
      <c r="E34" s="433"/>
      <c r="F34" s="433"/>
      <c r="G34" s="433"/>
      <c r="H34" s="163">
        <f>(H32+H33)*H46</f>
        <v>7.0606080000000002E-2</v>
      </c>
      <c r="I34" s="158">
        <f>I28*H34</f>
        <v>106.0856352</v>
      </c>
    </row>
    <row r="35" spans="1:11" x14ac:dyDescent="0.2">
      <c r="A35" s="445" t="s">
        <v>37</v>
      </c>
      <c r="B35" s="445"/>
      <c r="C35" s="445"/>
      <c r="D35" s="445"/>
      <c r="E35" s="445"/>
      <c r="F35" s="445"/>
      <c r="G35" s="445"/>
      <c r="H35" s="164">
        <f>TRUNC(SUM(H32:H33),4)</f>
        <v>0.20430000000000001</v>
      </c>
      <c r="I35" s="160">
        <f>SUM(I32:I34)</f>
        <v>413.04638519999997</v>
      </c>
    </row>
    <row r="36" spans="1:11" x14ac:dyDescent="0.2">
      <c r="A36" s="403"/>
      <c r="B36" s="403"/>
      <c r="C36" s="403"/>
      <c r="D36" s="403"/>
      <c r="E36" s="403"/>
      <c r="F36" s="403"/>
      <c r="G36" s="403"/>
      <c r="H36" s="403"/>
      <c r="I36" s="403"/>
    </row>
    <row r="37" spans="1:11" x14ac:dyDescent="0.2">
      <c r="A37" s="445" t="s">
        <v>38</v>
      </c>
      <c r="B37" s="445"/>
      <c r="C37" s="445"/>
      <c r="D37" s="445"/>
      <c r="E37" s="445"/>
      <c r="F37" s="445"/>
      <c r="G37" s="445"/>
      <c r="H37" s="156" t="s">
        <v>21</v>
      </c>
      <c r="I37" s="156" t="s">
        <v>22</v>
      </c>
      <c r="K37" s="404"/>
    </row>
    <row r="38" spans="1:11" x14ac:dyDescent="0.2">
      <c r="A38" s="156" t="s">
        <v>1</v>
      </c>
      <c r="B38" s="433" t="s">
        <v>39</v>
      </c>
      <c r="C38" s="433"/>
      <c r="D38" s="433"/>
      <c r="E38" s="433"/>
      <c r="F38" s="433"/>
      <c r="G38" s="433"/>
      <c r="H38" s="163">
        <v>0.2</v>
      </c>
      <c r="I38" s="158">
        <f>($I$28)*H38</f>
        <v>300.5</v>
      </c>
      <c r="K38" s="404"/>
    </row>
    <row r="39" spans="1:11" x14ac:dyDescent="0.2">
      <c r="A39" s="156" t="s">
        <v>3</v>
      </c>
      <c r="B39" s="433" t="s">
        <v>40</v>
      </c>
      <c r="C39" s="433"/>
      <c r="D39" s="433"/>
      <c r="E39" s="433"/>
      <c r="F39" s="433"/>
      <c r="G39" s="433"/>
      <c r="H39" s="163">
        <v>2.5000000000000001E-2</v>
      </c>
      <c r="I39" s="158">
        <f t="shared" ref="I39:I45" si="0">($I$28)*H39</f>
        <v>37.5625</v>
      </c>
      <c r="K39" s="404"/>
    </row>
    <row r="40" spans="1:11" x14ac:dyDescent="0.2">
      <c r="A40" s="156" t="s">
        <v>5</v>
      </c>
      <c r="B40" s="433" t="s">
        <v>41</v>
      </c>
      <c r="C40" s="433"/>
      <c r="D40" s="433"/>
      <c r="E40" s="433"/>
      <c r="F40" s="433"/>
      <c r="G40" s="433"/>
      <c r="H40" s="163">
        <v>2.01E-2</v>
      </c>
      <c r="I40" s="158">
        <f t="shared" si="0"/>
        <v>30.20025</v>
      </c>
      <c r="K40" s="404"/>
    </row>
    <row r="41" spans="1:11" x14ac:dyDescent="0.2">
      <c r="A41" s="156" t="s">
        <v>7</v>
      </c>
      <c r="B41" s="433" t="s">
        <v>42</v>
      </c>
      <c r="C41" s="433"/>
      <c r="D41" s="433"/>
      <c r="E41" s="433"/>
      <c r="F41" s="433"/>
      <c r="G41" s="433"/>
      <c r="H41" s="163">
        <v>7.4999999999999997E-3</v>
      </c>
      <c r="I41" s="158">
        <f t="shared" si="0"/>
        <v>11.268749999999999</v>
      </c>
      <c r="K41" s="404"/>
    </row>
    <row r="42" spans="1:11" x14ac:dyDescent="0.2">
      <c r="A42" s="156" t="s">
        <v>27</v>
      </c>
      <c r="B42" s="433" t="s">
        <v>43</v>
      </c>
      <c r="C42" s="433"/>
      <c r="D42" s="433"/>
      <c r="E42" s="433"/>
      <c r="F42" s="433"/>
      <c r="G42" s="433"/>
      <c r="H42" s="163">
        <v>5.0000000000000001E-3</v>
      </c>
      <c r="I42" s="158">
        <f t="shared" si="0"/>
        <v>7.5125000000000002</v>
      </c>
      <c r="K42" s="404"/>
    </row>
    <row r="43" spans="1:11" x14ac:dyDescent="0.2">
      <c r="A43" s="156" t="s">
        <v>29</v>
      </c>
      <c r="B43" s="433" t="s">
        <v>44</v>
      </c>
      <c r="C43" s="433"/>
      <c r="D43" s="433"/>
      <c r="E43" s="433"/>
      <c r="F43" s="433"/>
      <c r="G43" s="433"/>
      <c r="H43" s="163">
        <v>6.0000000000000001E-3</v>
      </c>
      <c r="I43" s="158">
        <f t="shared" si="0"/>
        <v>9.0150000000000006</v>
      </c>
      <c r="K43" s="404"/>
    </row>
    <row r="44" spans="1:11" x14ac:dyDescent="0.2">
      <c r="A44" s="156" t="s">
        <v>31</v>
      </c>
      <c r="B44" s="433" t="s">
        <v>45</v>
      </c>
      <c r="C44" s="433"/>
      <c r="D44" s="433"/>
      <c r="E44" s="433"/>
      <c r="F44" s="433"/>
      <c r="G44" s="433"/>
      <c r="H44" s="163">
        <v>2E-3</v>
      </c>
      <c r="I44" s="158">
        <f t="shared" si="0"/>
        <v>3.0049999999999999</v>
      </c>
      <c r="K44" s="404"/>
    </row>
    <row r="45" spans="1:11" x14ac:dyDescent="0.2">
      <c r="A45" s="156" t="s">
        <v>46</v>
      </c>
      <c r="B45" s="433" t="s">
        <v>47</v>
      </c>
      <c r="C45" s="433"/>
      <c r="D45" s="433"/>
      <c r="E45" s="433"/>
      <c r="F45" s="433"/>
      <c r="G45" s="433"/>
      <c r="H45" s="163">
        <v>0.08</v>
      </c>
      <c r="I45" s="158">
        <f t="shared" si="0"/>
        <v>120.2</v>
      </c>
      <c r="K45" s="404"/>
    </row>
    <row r="46" spans="1:11" x14ac:dyDescent="0.2">
      <c r="A46" s="445" t="s">
        <v>48</v>
      </c>
      <c r="B46" s="445"/>
      <c r="C46" s="445"/>
      <c r="D46" s="445"/>
      <c r="E46" s="445"/>
      <c r="F46" s="445"/>
      <c r="G46" s="445"/>
      <c r="H46" s="164">
        <f>SUM(H38:H45)</f>
        <v>0.34560000000000002</v>
      </c>
      <c r="I46" s="160">
        <f>(SUM(I38:I45))</f>
        <v>519.26400000000001</v>
      </c>
    </row>
    <row r="47" spans="1:11" x14ac:dyDescent="0.2">
      <c r="A47" s="451"/>
      <c r="B47" s="451"/>
      <c r="C47" s="451"/>
      <c r="D47" s="451"/>
      <c r="E47" s="451"/>
      <c r="F47" s="451"/>
      <c r="G47" s="451"/>
      <c r="H47" s="451"/>
      <c r="I47" s="451"/>
    </row>
    <row r="48" spans="1:11" x14ac:dyDescent="0.2">
      <c r="A48" s="445" t="s">
        <v>49</v>
      </c>
      <c r="B48" s="445"/>
      <c r="C48" s="445"/>
      <c r="D48" s="445"/>
      <c r="E48" s="445"/>
      <c r="F48" s="445"/>
      <c r="G48" s="445"/>
      <c r="H48" s="164"/>
      <c r="I48" s="156" t="s">
        <v>22</v>
      </c>
    </row>
    <row r="49" spans="1:10" x14ac:dyDescent="0.2">
      <c r="A49" s="156" t="s">
        <v>1</v>
      </c>
      <c r="B49" s="447" t="s">
        <v>125</v>
      </c>
      <c r="C49" s="447"/>
      <c r="D49" s="447"/>
      <c r="E49" s="447"/>
      <c r="F49" s="447"/>
      <c r="G49" s="447"/>
      <c r="H49" s="137">
        <v>3.65</v>
      </c>
      <c r="I49" s="165">
        <f>(H49*2*22)-(I21*0.06)</f>
        <v>70.45</v>
      </c>
    </row>
    <row r="50" spans="1:10" x14ac:dyDescent="0.2">
      <c r="A50" s="156" t="s">
        <v>3</v>
      </c>
      <c r="B50" s="447" t="s">
        <v>124</v>
      </c>
      <c r="C50" s="447"/>
      <c r="D50" s="447"/>
      <c r="E50" s="447"/>
      <c r="F50" s="447"/>
      <c r="G50" s="447"/>
      <c r="H50" s="137">
        <v>418</v>
      </c>
      <c r="I50" s="166">
        <f>H50*0.8</f>
        <v>334.40000000000003</v>
      </c>
      <c r="J50" s="167"/>
    </row>
    <row r="51" spans="1:10" x14ac:dyDescent="0.2">
      <c r="A51" s="156" t="s">
        <v>5</v>
      </c>
      <c r="B51" s="447" t="s">
        <v>126</v>
      </c>
      <c r="C51" s="447"/>
      <c r="D51" s="447"/>
      <c r="E51" s="447"/>
      <c r="F51" s="447"/>
      <c r="G51" s="447"/>
      <c r="H51" s="137">
        <v>0</v>
      </c>
      <c r="I51" s="165">
        <f>H51</f>
        <v>0</v>
      </c>
    </row>
    <row r="52" spans="1:10" x14ac:dyDescent="0.2">
      <c r="A52" s="156" t="s">
        <v>7</v>
      </c>
      <c r="B52" s="448" t="s">
        <v>127</v>
      </c>
      <c r="C52" s="449"/>
      <c r="D52" s="449"/>
      <c r="E52" s="449"/>
      <c r="F52" s="449"/>
      <c r="G52" s="450"/>
      <c r="H52" s="137">
        <v>0</v>
      </c>
      <c r="I52" s="165">
        <f>H52</f>
        <v>0</v>
      </c>
    </row>
    <row r="53" spans="1:10" x14ac:dyDescent="0.2">
      <c r="A53" s="156" t="s">
        <v>27</v>
      </c>
      <c r="B53" s="433" t="s">
        <v>131</v>
      </c>
      <c r="C53" s="433"/>
      <c r="D53" s="433"/>
      <c r="E53" s="433"/>
      <c r="F53" s="433"/>
      <c r="G53" s="433"/>
      <c r="H53" s="137">
        <v>8</v>
      </c>
      <c r="I53" s="165">
        <f>H53</f>
        <v>8</v>
      </c>
    </row>
    <row r="54" spans="1:10" x14ac:dyDescent="0.2">
      <c r="A54" s="445" t="s">
        <v>51</v>
      </c>
      <c r="B54" s="445"/>
      <c r="C54" s="445"/>
      <c r="D54" s="445"/>
      <c r="E54" s="445"/>
      <c r="F54" s="445"/>
      <c r="G54" s="445"/>
      <c r="H54" s="445"/>
      <c r="I54" s="160">
        <f>(SUM(I49:I53))</f>
        <v>412.85</v>
      </c>
    </row>
    <row r="55" spans="1:10" x14ac:dyDescent="0.2">
      <c r="A55" s="451"/>
      <c r="B55" s="451"/>
      <c r="C55" s="451"/>
      <c r="D55" s="451"/>
      <c r="E55" s="451"/>
      <c r="F55" s="451"/>
      <c r="G55" s="451"/>
      <c r="H55" s="451"/>
      <c r="I55" s="451"/>
    </row>
    <row r="56" spans="1:10" x14ac:dyDescent="0.2">
      <c r="A56" s="453" t="s">
        <v>52</v>
      </c>
      <c r="B56" s="453"/>
      <c r="C56" s="453"/>
      <c r="D56" s="453"/>
      <c r="E56" s="453"/>
      <c r="F56" s="453"/>
      <c r="G56" s="453"/>
      <c r="H56" s="453"/>
      <c r="I56" s="453"/>
    </row>
    <row r="57" spans="1:10" x14ac:dyDescent="0.2">
      <c r="A57" s="445" t="s">
        <v>53</v>
      </c>
      <c r="B57" s="445"/>
      <c r="C57" s="445"/>
      <c r="D57" s="445"/>
      <c r="E57" s="445"/>
      <c r="F57" s="445"/>
      <c r="G57" s="445"/>
      <c r="H57" s="445"/>
      <c r="I57" s="156" t="s">
        <v>22</v>
      </c>
    </row>
    <row r="58" spans="1:10" x14ac:dyDescent="0.2">
      <c r="A58" s="156" t="s">
        <v>54</v>
      </c>
      <c r="B58" s="441" t="s">
        <v>55</v>
      </c>
      <c r="C58" s="441"/>
      <c r="D58" s="441"/>
      <c r="E58" s="441"/>
      <c r="F58" s="441"/>
      <c r="G58" s="441"/>
      <c r="H58" s="441"/>
      <c r="I58" s="158">
        <f>I35</f>
        <v>413.04638519999997</v>
      </c>
    </row>
    <row r="59" spans="1:10" x14ac:dyDescent="0.2">
      <c r="A59" s="156" t="s">
        <v>56</v>
      </c>
      <c r="B59" s="441" t="s">
        <v>57</v>
      </c>
      <c r="C59" s="441"/>
      <c r="D59" s="441"/>
      <c r="E59" s="441"/>
      <c r="F59" s="441"/>
      <c r="G59" s="441"/>
      <c r="H59" s="441"/>
      <c r="I59" s="158">
        <f>I46</f>
        <v>519.26400000000001</v>
      </c>
    </row>
    <row r="60" spans="1:10" x14ac:dyDescent="0.2">
      <c r="A60" s="156" t="s">
        <v>58</v>
      </c>
      <c r="B60" s="441" t="s">
        <v>59</v>
      </c>
      <c r="C60" s="441"/>
      <c r="D60" s="441"/>
      <c r="E60" s="441"/>
      <c r="F60" s="441"/>
      <c r="G60" s="441"/>
      <c r="H60" s="441"/>
      <c r="I60" s="158">
        <f>I54</f>
        <v>412.85</v>
      </c>
    </row>
    <row r="61" spans="1:10" x14ac:dyDescent="0.2">
      <c r="A61" s="445" t="s">
        <v>60</v>
      </c>
      <c r="B61" s="445"/>
      <c r="C61" s="445"/>
      <c r="D61" s="445"/>
      <c r="E61" s="445"/>
      <c r="F61" s="445"/>
      <c r="G61" s="445"/>
      <c r="H61" s="445"/>
      <c r="I61" s="160">
        <f>(SUM(I58:I60))</f>
        <v>1345.1603851999998</v>
      </c>
    </row>
    <row r="62" spans="1:10" x14ac:dyDescent="0.2">
      <c r="A62" s="452"/>
      <c r="B62" s="452"/>
      <c r="C62" s="452"/>
      <c r="D62" s="452"/>
      <c r="E62" s="452"/>
      <c r="F62" s="452"/>
      <c r="G62" s="452"/>
      <c r="H62" s="452"/>
      <c r="I62" s="452"/>
    </row>
    <row r="63" spans="1:10" x14ac:dyDescent="0.2">
      <c r="A63" s="437" t="s">
        <v>61</v>
      </c>
      <c r="B63" s="437"/>
      <c r="C63" s="437"/>
      <c r="D63" s="437"/>
      <c r="E63" s="437"/>
      <c r="F63" s="437"/>
      <c r="G63" s="437"/>
      <c r="H63" s="437"/>
      <c r="I63" s="437"/>
    </row>
    <row r="64" spans="1:10" x14ac:dyDescent="0.2">
      <c r="A64" s="156">
        <v>3</v>
      </c>
      <c r="B64" s="445" t="s">
        <v>62</v>
      </c>
      <c r="C64" s="445"/>
      <c r="D64" s="445"/>
      <c r="E64" s="445"/>
      <c r="F64" s="445"/>
      <c r="G64" s="445"/>
      <c r="H64" s="156" t="s">
        <v>21</v>
      </c>
      <c r="I64" s="156" t="s">
        <v>22</v>
      </c>
    </row>
    <row r="65" spans="1:11" x14ac:dyDescent="0.2">
      <c r="A65" s="156" t="s">
        <v>1</v>
      </c>
      <c r="B65" s="433" t="s">
        <v>63</v>
      </c>
      <c r="C65" s="433"/>
      <c r="D65" s="433"/>
      <c r="E65" s="433"/>
      <c r="F65" s="433"/>
      <c r="G65" s="433"/>
      <c r="H65" s="168">
        <v>4.1999999999999997E-3</v>
      </c>
      <c r="I65" s="158">
        <f>$I$28*H65</f>
        <v>6.3104999999999993</v>
      </c>
    </row>
    <row r="66" spans="1:11" x14ac:dyDescent="0.2">
      <c r="A66" s="156" t="s">
        <v>3</v>
      </c>
      <c r="B66" s="433" t="s">
        <v>64</v>
      </c>
      <c r="C66" s="433"/>
      <c r="D66" s="433"/>
      <c r="E66" s="433"/>
      <c r="F66" s="433"/>
      <c r="G66" s="433"/>
      <c r="H66" s="168">
        <f>H45*H65</f>
        <v>3.3599999999999998E-4</v>
      </c>
      <c r="I66" s="158">
        <f>H66*I28</f>
        <v>0.50483999999999996</v>
      </c>
    </row>
    <row r="67" spans="1:11" x14ac:dyDescent="0.2">
      <c r="A67" s="156" t="s">
        <v>5</v>
      </c>
      <c r="B67" s="433" t="s">
        <v>65</v>
      </c>
      <c r="C67" s="433"/>
      <c r="D67" s="433"/>
      <c r="E67" s="433"/>
      <c r="F67" s="433"/>
      <c r="G67" s="433"/>
      <c r="H67" s="169">
        <v>0.01</v>
      </c>
      <c r="I67" s="158">
        <f>$I$28*H67</f>
        <v>15.025</v>
      </c>
    </row>
    <row r="68" spans="1:11" x14ac:dyDescent="0.2">
      <c r="A68" s="156" t="s">
        <v>7</v>
      </c>
      <c r="B68" s="433" t="s">
        <v>66</v>
      </c>
      <c r="C68" s="433"/>
      <c r="D68" s="433"/>
      <c r="E68" s="433"/>
      <c r="F68" s="433"/>
      <c r="G68" s="433"/>
      <c r="H68" s="170">
        <v>1.9400000000000001E-2</v>
      </c>
      <c r="I68" s="158">
        <f>$I$28*H68</f>
        <v>29.148500000000002</v>
      </c>
    </row>
    <row r="69" spans="1:11" x14ac:dyDescent="0.2">
      <c r="A69" s="156" t="s">
        <v>27</v>
      </c>
      <c r="B69" s="433" t="s">
        <v>67</v>
      </c>
      <c r="C69" s="433"/>
      <c r="D69" s="433"/>
      <c r="E69" s="433"/>
      <c r="F69" s="433"/>
      <c r="G69" s="433"/>
      <c r="H69" s="171">
        <f>H46*H68</f>
        <v>6.7046400000000004E-3</v>
      </c>
      <c r="I69" s="158">
        <f>$I$28*H69</f>
        <v>10.073721600000001</v>
      </c>
    </row>
    <row r="70" spans="1:11" x14ac:dyDescent="0.2">
      <c r="A70" s="156" t="s">
        <v>29</v>
      </c>
      <c r="B70" s="433" t="s">
        <v>68</v>
      </c>
      <c r="C70" s="433"/>
      <c r="D70" s="433"/>
      <c r="E70" s="433"/>
      <c r="F70" s="433"/>
      <c r="G70" s="433"/>
      <c r="H70" s="170">
        <v>2.1999999999999999E-2</v>
      </c>
      <c r="I70" s="158">
        <f>$I$28*H70</f>
        <v>33.055</v>
      </c>
      <c r="K70" s="20"/>
    </row>
    <row r="71" spans="1:11" x14ac:dyDescent="0.2">
      <c r="A71" s="445" t="s">
        <v>69</v>
      </c>
      <c r="B71" s="445"/>
      <c r="C71" s="445"/>
      <c r="D71" s="445"/>
      <c r="E71" s="445"/>
      <c r="F71" s="445"/>
      <c r="G71" s="445"/>
      <c r="H71" s="164">
        <f>TRUNC(SUM(H65:H70),4)</f>
        <v>6.2600000000000003E-2</v>
      </c>
      <c r="I71" s="160">
        <f>(SUM(I65:I70))</f>
        <v>94.117561599999988</v>
      </c>
    </row>
    <row r="72" spans="1:11" x14ac:dyDescent="0.2">
      <c r="A72" s="454"/>
      <c r="B72" s="454"/>
      <c r="C72" s="454"/>
      <c r="D72" s="454"/>
      <c r="E72" s="454"/>
      <c r="F72" s="454"/>
      <c r="G72" s="454"/>
      <c r="H72" s="454"/>
      <c r="I72" s="454"/>
    </row>
    <row r="73" spans="1:11" x14ac:dyDescent="0.2">
      <c r="A73" s="437" t="s">
        <v>70</v>
      </c>
      <c r="B73" s="437"/>
      <c r="C73" s="437"/>
      <c r="D73" s="437"/>
      <c r="E73" s="437"/>
      <c r="F73" s="437"/>
      <c r="G73" s="437"/>
      <c r="H73" s="437"/>
      <c r="I73" s="437"/>
    </row>
    <row r="74" spans="1:11" x14ac:dyDescent="0.2">
      <c r="A74" s="445" t="s">
        <v>71</v>
      </c>
      <c r="B74" s="445"/>
      <c r="C74" s="445"/>
      <c r="D74" s="445"/>
      <c r="E74" s="445"/>
      <c r="F74" s="445"/>
      <c r="G74" s="445"/>
      <c r="H74" s="156" t="s">
        <v>21</v>
      </c>
      <c r="I74" s="156" t="s">
        <v>22</v>
      </c>
    </row>
    <row r="75" spans="1:11" x14ac:dyDescent="0.2">
      <c r="A75" s="156" t="s">
        <v>1</v>
      </c>
      <c r="B75" s="433" t="s">
        <v>186</v>
      </c>
      <c r="C75" s="433"/>
      <c r="D75" s="433"/>
      <c r="E75" s="433"/>
      <c r="F75" s="433"/>
      <c r="G75" s="433"/>
      <c r="H75" s="148">
        <v>8.3299999999999999E-2</v>
      </c>
      <c r="I75" s="158">
        <f t="shared" ref="I75:I80" si="1">$I$28*H75</f>
        <v>125.15825</v>
      </c>
    </row>
    <row r="76" spans="1:11" x14ac:dyDescent="0.2">
      <c r="A76" s="156" t="s">
        <v>3</v>
      </c>
      <c r="B76" s="433" t="s">
        <v>187</v>
      </c>
      <c r="C76" s="433"/>
      <c r="D76" s="433"/>
      <c r="E76" s="433"/>
      <c r="F76" s="433"/>
      <c r="G76" s="433"/>
      <c r="H76" s="168">
        <v>3.3E-3</v>
      </c>
      <c r="I76" s="158">
        <f t="shared" si="1"/>
        <v>4.9582499999999996</v>
      </c>
    </row>
    <row r="77" spans="1:11" x14ac:dyDescent="0.2">
      <c r="A77" s="156" t="s">
        <v>5</v>
      </c>
      <c r="B77" s="433" t="s">
        <v>188</v>
      </c>
      <c r="C77" s="433"/>
      <c r="D77" s="433"/>
      <c r="E77" s="433"/>
      <c r="F77" s="433"/>
      <c r="G77" s="433"/>
      <c r="H77" s="168">
        <v>2.0000000000000001E-4</v>
      </c>
      <c r="I77" s="158">
        <f t="shared" si="1"/>
        <v>0.30049999999999999</v>
      </c>
    </row>
    <row r="78" spans="1:11" x14ac:dyDescent="0.2">
      <c r="A78" s="156" t="s">
        <v>7</v>
      </c>
      <c r="B78" s="433" t="s">
        <v>189</v>
      </c>
      <c r="C78" s="433"/>
      <c r="D78" s="433"/>
      <c r="E78" s="433"/>
      <c r="F78" s="433"/>
      <c r="G78" s="433"/>
      <c r="H78" s="168">
        <v>2.8E-3</v>
      </c>
      <c r="I78" s="158">
        <f t="shared" si="1"/>
        <v>4.2069999999999999</v>
      </c>
    </row>
    <row r="79" spans="1:11" x14ac:dyDescent="0.2">
      <c r="A79" s="156" t="s">
        <v>27</v>
      </c>
      <c r="B79" s="433" t="s">
        <v>190</v>
      </c>
      <c r="C79" s="433"/>
      <c r="D79" s="433"/>
      <c r="E79" s="433"/>
      <c r="F79" s="433"/>
      <c r="G79" s="433"/>
      <c r="H79" s="168">
        <v>6.9999999999999999E-4</v>
      </c>
      <c r="I79" s="158">
        <f t="shared" si="1"/>
        <v>1.05175</v>
      </c>
    </row>
    <row r="80" spans="1:11" x14ac:dyDescent="0.2">
      <c r="A80" s="156" t="s">
        <v>29</v>
      </c>
      <c r="B80" s="448" t="s">
        <v>191</v>
      </c>
      <c r="C80" s="449"/>
      <c r="D80" s="449"/>
      <c r="E80" s="449"/>
      <c r="F80" s="449"/>
      <c r="G80" s="450"/>
      <c r="H80" s="168">
        <v>1E-3</v>
      </c>
      <c r="I80" s="158">
        <f t="shared" si="1"/>
        <v>1.5024999999999999</v>
      </c>
    </row>
    <row r="81" spans="1:9" x14ac:dyDescent="0.2">
      <c r="A81" s="445" t="s">
        <v>72</v>
      </c>
      <c r="B81" s="445"/>
      <c r="C81" s="445"/>
      <c r="D81" s="445"/>
      <c r="E81" s="445"/>
      <c r="F81" s="445"/>
      <c r="G81" s="445"/>
      <c r="H81" s="164">
        <f>TRUNC(SUM(H75:H80),4)</f>
        <v>9.1300000000000006E-2</v>
      </c>
      <c r="I81" s="160">
        <f>(SUM(I75:I80))</f>
        <v>137.17824999999999</v>
      </c>
    </row>
    <row r="82" spans="1:9" x14ac:dyDescent="0.2">
      <c r="A82" s="455"/>
      <c r="B82" s="455"/>
      <c r="C82" s="455"/>
      <c r="D82" s="455"/>
      <c r="E82" s="455"/>
      <c r="F82" s="455"/>
      <c r="G82" s="455"/>
      <c r="H82" s="455"/>
      <c r="I82" s="455"/>
    </row>
    <row r="83" spans="1:9" x14ac:dyDescent="0.2">
      <c r="A83" s="445" t="s">
        <v>73</v>
      </c>
      <c r="B83" s="445"/>
      <c r="C83" s="445"/>
      <c r="D83" s="445"/>
      <c r="E83" s="445"/>
      <c r="F83" s="445"/>
      <c r="G83" s="445"/>
      <c r="H83" s="156" t="s">
        <v>21</v>
      </c>
      <c r="I83" s="156" t="s">
        <v>22</v>
      </c>
    </row>
    <row r="84" spans="1:9" x14ac:dyDescent="0.2">
      <c r="A84" s="156" t="s">
        <v>1</v>
      </c>
      <c r="B84" s="433" t="s">
        <v>192</v>
      </c>
      <c r="C84" s="433"/>
      <c r="D84" s="433"/>
      <c r="E84" s="433"/>
      <c r="F84" s="433"/>
      <c r="G84" s="433"/>
      <c r="H84" s="168">
        <v>0</v>
      </c>
      <c r="I84" s="158">
        <f>$I$28*H84</f>
        <v>0</v>
      </c>
    </row>
    <row r="85" spans="1:9" x14ac:dyDescent="0.2">
      <c r="A85" s="445" t="s">
        <v>74</v>
      </c>
      <c r="B85" s="445"/>
      <c r="C85" s="445"/>
      <c r="D85" s="445"/>
      <c r="E85" s="445"/>
      <c r="F85" s="445"/>
      <c r="G85" s="445"/>
      <c r="H85" s="164">
        <f>TRUNC(SUM(H84),4)</f>
        <v>0</v>
      </c>
      <c r="I85" s="160">
        <f>(SUM(I84))</f>
        <v>0</v>
      </c>
    </row>
    <row r="86" spans="1:9" x14ac:dyDescent="0.2">
      <c r="A86" s="396"/>
      <c r="B86" s="396"/>
      <c r="C86" s="396"/>
      <c r="D86" s="396"/>
      <c r="E86" s="396"/>
      <c r="F86" s="396"/>
      <c r="G86" s="396"/>
      <c r="H86" s="396"/>
      <c r="I86" s="396"/>
    </row>
    <row r="87" spans="1:9" x14ac:dyDescent="0.2">
      <c r="A87" s="453" t="s">
        <v>75</v>
      </c>
      <c r="B87" s="453"/>
      <c r="C87" s="453"/>
      <c r="D87" s="453"/>
      <c r="E87" s="453"/>
      <c r="F87" s="453"/>
      <c r="G87" s="453"/>
      <c r="H87" s="453"/>
      <c r="I87" s="453"/>
    </row>
    <row r="88" spans="1:9" x14ac:dyDescent="0.2">
      <c r="A88" s="445" t="s">
        <v>76</v>
      </c>
      <c r="B88" s="445"/>
      <c r="C88" s="445"/>
      <c r="D88" s="445"/>
      <c r="E88" s="445"/>
      <c r="F88" s="445"/>
      <c r="G88" s="445"/>
      <c r="H88" s="445"/>
      <c r="I88" s="156" t="s">
        <v>22</v>
      </c>
    </row>
    <row r="89" spans="1:9" x14ac:dyDescent="0.2">
      <c r="A89" s="156" t="s">
        <v>77</v>
      </c>
      <c r="B89" s="441" t="s">
        <v>193</v>
      </c>
      <c r="C89" s="441"/>
      <c r="D89" s="441"/>
      <c r="E89" s="441"/>
      <c r="F89" s="441"/>
      <c r="G89" s="441"/>
      <c r="H89" s="441"/>
      <c r="I89" s="158">
        <f>I81</f>
        <v>137.17824999999999</v>
      </c>
    </row>
    <row r="90" spans="1:9" x14ac:dyDescent="0.2">
      <c r="A90" s="156" t="s">
        <v>78</v>
      </c>
      <c r="B90" s="441" t="s">
        <v>194</v>
      </c>
      <c r="C90" s="441"/>
      <c r="D90" s="441"/>
      <c r="E90" s="441"/>
      <c r="F90" s="441"/>
      <c r="G90" s="441"/>
      <c r="H90" s="441"/>
      <c r="I90" s="158">
        <f>I85</f>
        <v>0</v>
      </c>
    </row>
    <row r="91" spans="1:9" x14ac:dyDescent="0.2">
      <c r="A91" s="156" t="s">
        <v>46</v>
      </c>
      <c r="B91" s="441" t="s">
        <v>195</v>
      </c>
      <c r="C91" s="441"/>
      <c r="D91" s="441"/>
      <c r="E91" s="441"/>
      <c r="F91" s="441"/>
      <c r="G91" s="441"/>
      <c r="H91" s="441"/>
      <c r="I91" s="158">
        <f>(H81*H46)*I89</f>
        <v>4.3284237321600001</v>
      </c>
    </row>
    <row r="92" spans="1:9" x14ac:dyDescent="0.2">
      <c r="A92" s="445" t="s">
        <v>79</v>
      </c>
      <c r="B92" s="445"/>
      <c r="C92" s="445"/>
      <c r="D92" s="445"/>
      <c r="E92" s="445"/>
      <c r="F92" s="445"/>
      <c r="G92" s="445"/>
      <c r="H92" s="445"/>
      <c r="I92" s="160">
        <f>(SUM(I89:I90))</f>
        <v>137.17824999999999</v>
      </c>
    </row>
    <row r="93" spans="1:9" x14ac:dyDescent="0.2">
      <c r="A93" s="452"/>
      <c r="B93" s="452"/>
      <c r="C93" s="452"/>
      <c r="D93" s="452"/>
      <c r="E93" s="452"/>
      <c r="F93" s="452"/>
      <c r="G93" s="452"/>
      <c r="H93" s="452"/>
      <c r="I93" s="452"/>
    </row>
    <row r="94" spans="1:9" x14ac:dyDescent="0.2">
      <c r="A94" s="437" t="s">
        <v>80</v>
      </c>
      <c r="B94" s="437"/>
      <c r="C94" s="437"/>
      <c r="D94" s="437"/>
      <c r="E94" s="437"/>
      <c r="F94" s="437"/>
      <c r="G94" s="437"/>
      <c r="H94" s="437"/>
      <c r="I94" s="437"/>
    </row>
    <row r="95" spans="1:9" x14ac:dyDescent="0.2">
      <c r="A95" s="156">
        <v>5</v>
      </c>
      <c r="B95" s="445" t="s">
        <v>81</v>
      </c>
      <c r="C95" s="445"/>
      <c r="D95" s="445"/>
      <c r="E95" s="445"/>
      <c r="F95" s="445"/>
      <c r="G95" s="445"/>
      <c r="H95" s="156"/>
      <c r="I95" s="156" t="s">
        <v>22</v>
      </c>
    </row>
    <row r="96" spans="1:9" x14ac:dyDescent="0.2">
      <c r="A96" s="156" t="s">
        <v>1</v>
      </c>
      <c r="B96" s="447" t="s">
        <v>82</v>
      </c>
      <c r="C96" s="447"/>
      <c r="D96" s="447"/>
      <c r="E96" s="447"/>
      <c r="F96" s="447"/>
      <c r="G96" s="447"/>
      <c r="H96" s="136" t="s">
        <v>50</v>
      </c>
      <c r="I96" s="172">
        <f>UNIFORME!F20</f>
        <v>41.166666666666664</v>
      </c>
    </row>
    <row r="97" spans="1:13" x14ac:dyDescent="0.2">
      <c r="A97" s="156" t="s">
        <v>3</v>
      </c>
      <c r="B97" s="447" t="s">
        <v>83</v>
      </c>
      <c r="C97" s="447"/>
      <c r="D97" s="447"/>
      <c r="E97" s="447"/>
      <c r="F97" s="447"/>
      <c r="G97" s="447"/>
      <c r="H97" s="136" t="s">
        <v>50</v>
      </c>
      <c r="I97" s="158">
        <v>0</v>
      </c>
    </row>
    <row r="98" spans="1:13" x14ac:dyDescent="0.2">
      <c r="A98" s="173" t="s">
        <v>5</v>
      </c>
      <c r="B98" s="447" t="s">
        <v>84</v>
      </c>
      <c r="C98" s="447"/>
      <c r="D98" s="447"/>
      <c r="E98" s="447"/>
      <c r="F98" s="447"/>
      <c r="G98" s="447"/>
      <c r="H98" s="136" t="s">
        <v>50</v>
      </c>
      <c r="I98" s="158">
        <v>0</v>
      </c>
    </row>
    <row r="99" spans="1:13" x14ac:dyDescent="0.2">
      <c r="A99" s="173" t="s">
        <v>7</v>
      </c>
      <c r="B99" s="447" t="s">
        <v>128</v>
      </c>
      <c r="C99" s="447"/>
      <c r="D99" s="447"/>
      <c r="E99" s="447"/>
      <c r="F99" s="447"/>
      <c r="G99" s="447"/>
      <c r="H99" s="136" t="s">
        <v>50</v>
      </c>
      <c r="I99" s="158">
        <v>0</v>
      </c>
    </row>
    <row r="100" spans="1:13" x14ac:dyDescent="0.2">
      <c r="A100" s="445" t="s">
        <v>85</v>
      </c>
      <c r="B100" s="445"/>
      <c r="C100" s="445"/>
      <c r="D100" s="445"/>
      <c r="E100" s="445"/>
      <c r="F100" s="445"/>
      <c r="G100" s="445"/>
      <c r="H100" s="164" t="s">
        <v>50</v>
      </c>
      <c r="I100" s="160">
        <f>(SUM(I96:I99))</f>
        <v>41.166666666666664</v>
      </c>
    </row>
    <row r="101" spans="1:13" x14ac:dyDescent="0.2">
      <c r="A101" s="452"/>
      <c r="B101" s="452"/>
      <c r="C101" s="452"/>
      <c r="D101" s="452"/>
      <c r="E101" s="452"/>
      <c r="F101" s="452"/>
      <c r="G101" s="452"/>
      <c r="H101" s="452"/>
      <c r="I101" s="452"/>
    </row>
    <row r="102" spans="1:13" x14ac:dyDescent="0.2">
      <c r="A102" s="437" t="s">
        <v>86</v>
      </c>
      <c r="B102" s="437"/>
      <c r="C102" s="437"/>
      <c r="D102" s="437"/>
      <c r="E102" s="437"/>
      <c r="F102" s="437"/>
      <c r="G102" s="437"/>
      <c r="H102" s="437"/>
      <c r="I102" s="437"/>
    </row>
    <row r="103" spans="1:13" x14ac:dyDescent="0.2">
      <c r="A103" s="156">
        <v>6</v>
      </c>
      <c r="B103" s="445" t="s">
        <v>87</v>
      </c>
      <c r="C103" s="445"/>
      <c r="D103" s="445"/>
      <c r="E103" s="445"/>
      <c r="F103" s="445"/>
      <c r="G103" s="445"/>
      <c r="H103" s="156" t="s">
        <v>21</v>
      </c>
      <c r="I103" s="156" t="s">
        <v>22</v>
      </c>
      <c r="K103" s="52">
        <f>'ANEXO VII'!M57</f>
        <v>197.15170301310718</v>
      </c>
    </row>
    <row r="104" spans="1:13" x14ac:dyDescent="0.2">
      <c r="A104" s="156" t="s">
        <v>1</v>
      </c>
      <c r="B104" s="433" t="s">
        <v>88</v>
      </c>
      <c r="C104" s="433"/>
      <c r="D104" s="433"/>
      <c r="E104" s="433"/>
      <c r="F104" s="433"/>
      <c r="G104" s="433"/>
      <c r="H104" s="174">
        <v>5.21E-2</v>
      </c>
      <c r="I104" s="158">
        <f>I120*H104</f>
        <v>162.55840118661331</v>
      </c>
      <c r="M104" s="52"/>
    </row>
    <row r="105" spans="1:13" x14ac:dyDescent="0.2">
      <c r="A105" s="156" t="s">
        <v>3</v>
      </c>
      <c r="B105" s="433" t="s">
        <v>89</v>
      </c>
      <c r="C105" s="433"/>
      <c r="D105" s="433"/>
      <c r="E105" s="433"/>
      <c r="F105" s="433"/>
      <c r="G105" s="433"/>
      <c r="H105" s="174">
        <v>0.05</v>
      </c>
      <c r="I105" s="158">
        <f>(I120+I104)*H105</f>
        <v>164.134063232664</v>
      </c>
    </row>
    <row r="106" spans="1:13" x14ac:dyDescent="0.2">
      <c r="A106" s="156" t="s">
        <v>5</v>
      </c>
      <c r="B106" s="457" t="s">
        <v>90</v>
      </c>
      <c r="C106" s="457"/>
      <c r="D106" s="457"/>
      <c r="E106" s="457"/>
      <c r="F106" s="457"/>
      <c r="G106" s="457"/>
      <c r="H106" s="175">
        <f>H107+H108+H109</f>
        <v>8.6499999999999994E-2</v>
      </c>
      <c r="I106" s="176"/>
    </row>
    <row r="107" spans="1:13" x14ac:dyDescent="0.2">
      <c r="A107" s="156" t="s">
        <v>91</v>
      </c>
      <c r="B107" s="433" t="s">
        <v>92</v>
      </c>
      <c r="C107" s="433"/>
      <c r="D107" s="433"/>
      <c r="E107" s="433"/>
      <c r="F107" s="433"/>
      <c r="G107" s="433"/>
      <c r="H107" s="177">
        <v>6.4999999999999997E-3</v>
      </c>
      <c r="I107" s="158">
        <f>K110*H107</f>
        <v>24.525779563501516</v>
      </c>
      <c r="K107" s="65">
        <f>1-H106</f>
        <v>0.91349999999999998</v>
      </c>
    </row>
    <row r="108" spans="1:13" x14ac:dyDescent="0.2">
      <c r="A108" s="156" t="s">
        <v>93</v>
      </c>
      <c r="B108" s="433" t="s">
        <v>94</v>
      </c>
      <c r="C108" s="433"/>
      <c r="D108" s="433"/>
      <c r="E108" s="433"/>
      <c r="F108" s="433"/>
      <c r="G108" s="433"/>
      <c r="H108" s="177">
        <v>0.03</v>
      </c>
      <c r="I108" s="158">
        <f>K110*H108</f>
        <v>113.19590567769932</v>
      </c>
      <c r="K108" s="45">
        <f>K107/1</f>
        <v>0.91349999999999998</v>
      </c>
    </row>
    <row r="109" spans="1:13" x14ac:dyDescent="0.2">
      <c r="A109" s="156" t="s">
        <v>95</v>
      </c>
      <c r="B109" s="433" t="s">
        <v>96</v>
      </c>
      <c r="C109" s="433"/>
      <c r="D109" s="433"/>
      <c r="E109" s="433"/>
      <c r="F109" s="433"/>
      <c r="G109" s="433"/>
      <c r="H109" s="178">
        <v>0.05</v>
      </c>
      <c r="I109" s="158">
        <f>K110*H109</f>
        <v>188.65984279616555</v>
      </c>
      <c r="K109" s="20">
        <f>I120+I104+I105</f>
        <v>3446.815327885944</v>
      </c>
    </row>
    <row r="110" spans="1:13" x14ac:dyDescent="0.2">
      <c r="A110" s="445" t="s">
        <v>97</v>
      </c>
      <c r="B110" s="445"/>
      <c r="C110" s="445"/>
      <c r="D110" s="445"/>
      <c r="E110" s="445"/>
      <c r="F110" s="445"/>
      <c r="G110" s="445"/>
      <c r="H110" s="177">
        <f>SUM(H104+H105+H106)</f>
        <v>0.18859999999999999</v>
      </c>
      <c r="I110" s="160">
        <f>(SUM(I104:I109))</f>
        <v>653.07399245664374</v>
      </c>
      <c r="K110" s="20">
        <f>K109/K108</f>
        <v>3773.1968559233105</v>
      </c>
    </row>
    <row r="111" spans="1:13" x14ac:dyDescent="0.2">
      <c r="A111" s="135"/>
      <c r="B111" s="456"/>
      <c r="C111" s="456"/>
      <c r="D111" s="456"/>
      <c r="E111" s="456"/>
      <c r="F111" s="456"/>
      <c r="G111" s="456"/>
      <c r="H111" s="456"/>
      <c r="I111" s="456"/>
    </row>
    <row r="112" spans="1:13" x14ac:dyDescent="0.2">
      <c r="A112" s="135"/>
      <c r="B112" s="135"/>
      <c r="C112" s="135"/>
      <c r="D112" s="135"/>
      <c r="E112" s="135"/>
      <c r="F112" s="135"/>
      <c r="G112" s="135"/>
      <c r="H112" s="135"/>
      <c r="I112" s="162"/>
    </row>
    <row r="113" spans="1:12" x14ac:dyDescent="0.2">
      <c r="A113" s="453" t="s">
        <v>98</v>
      </c>
      <c r="B113" s="453"/>
      <c r="C113" s="453"/>
      <c r="D113" s="453"/>
      <c r="E113" s="453"/>
      <c r="F113" s="453"/>
      <c r="G113" s="453"/>
      <c r="H113" s="453"/>
      <c r="I113" s="453"/>
    </row>
    <row r="114" spans="1:12" x14ac:dyDescent="0.2">
      <c r="A114" s="445" t="s">
        <v>99</v>
      </c>
      <c r="B114" s="445"/>
      <c r="C114" s="445"/>
      <c r="D114" s="445"/>
      <c r="E114" s="445"/>
      <c r="F114" s="445"/>
      <c r="G114" s="445"/>
      <c r="H114" s="445"/>
      <c r="I114" s="156" t="s">
        <v>22</v>
      </c>
    </row>
    <row r="115" spans="1:12" x14ac:dyDescent="0.2">
      <c r="A115" s="136" t="s">
        <v>1</v>
      </c>
      <c r="B115" s="433" t="str">
        <f>A19</f>
        <v>MÓDULO 1 - COMPOSIÇÃO DA REMUNERAÇÃO</v>
      </c>
      <c r="C115" s="433"/>
      <c r="D115" s="433"/>
      <c r="E115" s="433"/>
      <c r="F115" s="433"/>
      <c r="G115" s="433"/>
      <c r="H115" s="433"/>
      <c r="I115" s="158">
        <f>I28</f>
        <v>1502.5</v>
      </c>
      <c r="K115" s="20"/>
      <c r="L115" s="53"/>
    </row>
    <row r="116" spans="1:12" x14ac:dyDescent="0.2">
      <c r="A116" s="136" t="s">
        <v>3</v>
      </c>
      <c r="B116" s="433" t="str">
        <f>A30</f>
        <v>MÓDULO 2 – ENCARGOS E BENEFÍCIOS ANUAIS, MENSAIS E DIÁRIOS</v>
      </c>
      <c r="C116" s="433"/>
      <c r="D116" s="433"/>
      <c r="E116" s="433"/>
      <c r="F116" s="433"/>
      <c r="G116" s="433"/>
      <c r="H116" s="433"/>
      <c r="I116" s="158">
        <f>I61</f>
        <v>1345.1603851999998</v>
      </c>
    </row>
    <row r="117" spans="1:12" x14ac:dyDescent="0.2">
      <c r="A117" s="136" t="s">
        <v>5</v>
      </c>
      <c r="B117" s="433" t="str">
        <f>A63</f>
        <v>MÓDULO 3 – PROVISÃO PARA RESCISÃO</v>
      </c>
      <c r="C117" s="433"/>
      <c r="D117" s="433"/>
      <c r="E117" s="433"/>
      <c r="F117" s="433"/>
      <c r="G117" s="433"/>
      <c r="H117" s="433"/>
      <c r="I117" s="158">
        <f>I71</f>
        <v>94.117561599999988</v>
      </c>
    </row>
    <row r="118" spans="1:12" x14ac:dyDescent="0.2">
      <c r="A118" s="136" t="s">
        <v>7</v>
      </c>
      <c r="B118" s="433" t="str">
        <f>A73</f>
        <v>MÓDULO 4 – CUSTO DE REPOSIÇÃO DO PROFISSIONAL AUSENTE</v>
      </c>
      <c r="C118" s="433"/>
      <c r="D118" s="433"/>
      <c r="E118" s="433"/>
      <c r="F118" s="433"/>
      <c r="G118" s="433"/>
      <c r="H118" s="433"/>
      <c r="I118" s="158">
        <f>I92</f>
        <v>137.17824999999999</v>
      </c>
    </row>
    <row r="119" spans="1:12" x14ac:dyDescent="0.2">
      <c r="A119" s="136" t="s">
        <v>27</v>
      </c>
      <c r="B119" s="433" t="str">
        <f>A94</f>
        <v>MÓDULO 5 – INSUMOS DIVERSOS</v>
      </c>
      <c r="C119" s="433"/>
      <c r="D119" s="433"/>
      <c r="E119" s="433"/>
      <c r="F119" s="433"/>
      <c r="G119" s="433"/>
      <c r="H119" s="433"/>
      <c r="I119" s="158">
        <f>I100</f>
        <v>41.166666666666664</v>
      </c>
    </row>
    <row r="120" spans="1:12" x14ac:dyDescent="0.2">
      <c r="A120" s="156"/>
      <c r="B120" s="445" t="s">
        <v>100</v>
      </c>
      <c r="C120" s="445"/>
      <c r="D120" s="445"/>
      <c r="E120" s="445"/>
      <c r="F120" s="445"/>
      <c r="G120" s="445"/>
      <c r="H120" s="445"/>
      <c r="I120" s="160">
        <f>(SUM(I115:I119))</f>
        <v>3120.1228634666663</v>
      </c>
    </row>
    <row r="121" spans="1:12" x14ac:dyDescent="0.2">
      <c r="A121" s="136" t="s">
        <v>29</v>
      </c>
      <c r="B121" s="433" t="str">
        <f>A102</f>
        <v>MÓDULO 6 – CUSTOS INDIRETOS, TRIBUTOS E LUCRO</v>
      </c>
      <c r="C121" s="433"/>
      <c r="D121" s="433"/>
      <c r="E121" s="433"/>
      <c r="F121" s="433"/>
      <c r="G121" s="433"/>
      <c r="H121" s="433"/>
      <c r="I121" s="158">
        <f>I110</f>
        <v>653.07399245664374</v>
      </c>
    </row>
    <row r="122" spans="1:12" x14ac:dyDescent="0.2">
      <c r="A122" s="445" t="s">
        <v>101</v>
      </c>
      <c r="B122" s="445"/>
      <c r="C122" s="445"/>
      <c r="D122" s="445"/>
      <c r="E122" s="445"/>
      <c r="F122" s="445"/>
      <c r="G122" s="445"/>
      <c r="H122" s="445"/>
      <c r="I122" s="160">
        <f>(SUM(I120:I121))</f>
        <v>3773.1968559233101</v>
      </c>
      <c r="K122" s="51"/>
    </row>
    <row r="123" spans="1:12" x14ac:dyDescent="0.2">
      <c r="I123" s="20"/>
      <c r="K123" s="51"/>
    </row>
    <row r="124" spans="1:12" hidden="1" x14ac:dyDescent="0.2">
      <c r="A124" s="135"/>
      <c r="B124" s="458" t="s">
        <v>102</v>
      </c>
      <c r="C124" s="458"/>
      <c r="D124" s="458"/>
      <c r="E124" s="458"/>
      <c r="F124" s="458"/>
      <c r="G124" s="458"/>
      <c r="H124" s="161"/>
      <c r="I124" s="161"/>
      <c r="K124" s="51"/>
    </row>
    <row r="125" spans="1:12" ht="40.5" hidden="1" customHeight="1" x14ac:dyDescent="0.2">
      <c r="A125" s="385" t="s">
        <v>103</v>
      </c>
      <c r="B125" s="385"/>
      <c r="C125" s="385" t="s">
        <v>104</v>
      </c>
      <c r="D125" s="385"/>
      <c r="E125" s="385" t="s">
        <v>105</v>
      </c>
      <c r="F125" s="385"/>
      <c r="G125" s="28" t="s">
        <v>106</v>
      </c>
      <c r="H125" s="132" t="s">
        <v>107</v>
      </c>
      <c r="I125" s="134"/>
      <c r="K125" s="51"/>
    </row>
    <row r="126" spans="1:12" hidden="1" x14ac:dyDescent="0.2">
      <c r="A126" s="459" t="s">
        <v>108</v>
      </c>
      <c r="B126" s="459"/>
      <c r="C126" s="460" t="s">
        <v>109</v>
      </c>
      <c r="D126" s="460"/>
      <c r="E126" s="461"/>
      <c r="F126" s="461"/>
      <c r="G126" s="179" t="s">
        <v>109</v>
      </c>
      <c r="H126" s="180"/>
      <c r="I126" s="181"/>
      <c r="K126" s="51"/>
    </row>
    <row r="127" spans="1:12" hidden="1" x14ac:dyDescent="0.2">
      <c r="A127" s="462" t="s">
        <v>110</v>
      </c>
      <c r="B127" s="462"/>
      <c r="C127" s="463" t="s">
        <v>109</v>
      </c>
      <c r="D127" s="463"/>
      <c r="E127" s="464"/>
      <c r="F127" s="464"/>
      <c r="G127" s="182" t="s">
        <v>109</v>
      </c>
      <c r="H127" s="183"/>
      <c r="I127" s="184"/>
      <c r="K127" s="51"/>
    </row>
    <row r="128" spans="1:12" hidden="1" x14ac:dyDescent="0.2">
      <c r="A128" s="462" t="s">
        <v>111</v>
      </c>
      <c r="B128" s="462"/>
      <c r="C128" s="463" t="s">
        <v>109</v>
      </c>
      <c r="D128" s="463"/>
      <c r="E128" s="464"/>
      <c r="F128" s="464"/>
      <c r="G128" s="182" t="s">
        <v>109</v>
      </c>
      <c r="H128" s="183"/>
      <c r="I128" s="184"/>
      <c r="K128" s="51"/>
    </row>
    <row r="129" spans="1:11" hidden="1" x14ac:dyDescent="0.2">
      <c r="A129" s="462" t="s">
        <v>112</v>
      </c>
      <c r="B129" s="462"/>
      <c r="C129" s="463" t="s">
        <v>109</v>
      </c>
      <c r="D129" s="463"/>
      <c r="E129" s="464"/>
      <c r="F129" s="464"/>
      <c r="G129" s="182" t="s">
        <v>109</v>
      </c>
      <c r="H129" s="183"/>
      <c r="I129" s="184"/>
      <c r="K129" s="51"/>
    </row>
    <row r="130" spans="1:11" hidden="1" x14ac:dyDescent="0.2">
      <c r="A130" s="465"/>
      <c r="B130" s="465"/>
      <c r="C130" s="464"/>
      <c r="D130" s="464"/>
      <c r="E130" s="464"/>
      <c r="F130" s="464"/>
      <c r="G130" s="185"/>
      <c r="H130" s="186"/>
      <c r="I130" s="184"/>
      <c r="K130" s="51"/>
    </row>
    <row r="131" spans="1:11" ht="13.5" hidden="1" thickBot="1" x14ac:dyDescent="0.25">
      <c r="A131" s="469"/>
      <c r="B131" s="469"/>
      <c r="C131" s="470"/>
      <c r="D131" s="470"/>
      <c r="E131" s="470"/>
      <c r="F131" s="470"/>
      <c r="G131" s="187"/>
      <c r="H131" s="188"/>
      <c r="I131" s="189"/>
      <c r="K131" s="51"/>
    </row>
    <row r="132" spans="1:11" ht="13.5" hidden="1" thickBot="1" x14ac:dyDescent="0.25">
      <c r="A132" s="378" t="s">
        <v>113</v>
      </c>
      <c r="B132" s="378"/>
      <c r="C132" s="378"/>
      <c r="D132" s="378"/>
      <c r="E132" s="378"/>
      <c r="F132" s="378"/>
      <c r="G132" s="378"/>
      <c r="H132" s="378"/>
      <c r="I132" s="40"/>
      <c r="K132" s="51"/>
    </row>
    <row r="133" spans="1:11" x14ac:dyDescent="0.2">
      <c r="I133" s="20"/>
    </row>
    <row r="134" spans="1:11" hidden="1" x14ac:dyDescent="0.2">
      <c r="A134" s="135" t="s">
        <v>114</v>
      </c>
      <c r="B134" s="458" t="s">
        <v>115</v>
      </c>
      <c r="C134" s="458"/>
      <c r="D134" s="458"/>
      <c r="E134" s="458"/>
      <c r="F134" s="458"/>
      <c r="G134" s="458"/>
      <c r="H134" s="161"/>
      <c r="I134" s="161"/>
    </row>
    <row r="135" spans="1:11" ht="13.5" hidden="1" thickBot="1" x14ac:dyDescent="0.25">
      <c r="A135" s="380" t="s">
        <v>116</v>
      </c>
      <c r="B135" s="380"/>
      <c r="C135" s="380"/>
      <c r="D135" s="380"/>
      <c r="E135" s="380"/>
      <c r="F135" s="380"/>
      <c r="G135" s="380"/>
      <c r="H135" s="380"/>
      <c r="I135" s="380"/>
    </row>
    <row r="136" spans="1:11" ht="13.5" hidden="1" thickBot="1" x14ac:dyDescent="0.25">
      <c r="A136" s="190"/>
      <c r="B136" s="371" t="s">
        <v>117</v>
      </c>
      <c r="C136" s="371"/>
      <c r="D136" s="371"/>
      <c r="E136" s="371"/>
      <c r="F136" s="371"/>
      <c r="G136" s="371"/>
      <c r="H136" s="371"/>
      <c r="I136" s="134" t="s">
        <v>22</v>
      </c>
    </row>
    <row r="137" spans="1:11" hidden="1" x14ac:dyDescent="0.2">
      <c r="A137" s="191" t="s">
        <v>1</v>
      </c>
      <c r="B137" s="466" t="s">
        <v>118</v>
      </c>
      <c r="C137" s="466"/>
      <c r="D137" s="466"/>
      <c r="E137" s="466"/>
      <c r="F137" s="466"/>
      <c r="G137" s="466"/>
      <c r="H137" s="466"/>
      <c r="I137" s="192">
        <f>I107</f>
        <v>24.525779563501516</v>
      </c>
    </row>
    <row r="138" spans="1:11" hidden="1" x14ac:dyDescent="0.2">
      <c r="A138" s="193" t="s">
        <v>3</v>
      </c>
      <c r="B138" s="433" t="s">
        <v>119</v>
      </c>
      <c r="C138" s="433"/>
      <c r="D138" s="433"/>
      <c r="E138" s="433"/>
      <c r="F138" s="433"/>
      <c r="G138" s="433"/>
      <c r="H138" s="433"/>
      <c r="I138" s="194" t="e">
        <f>#REF!</f>
        <v>#REF!</v>
      </c>
    </row>
    <row r="139" spans="1:11" ht="13.5" hidden="1" thickBot="1" x14ac:dyDescent="0.25">
      <c r="A139" s="193" t="s">
        <v>5</v>
      </c>
      <c r="B139" s="467" t="s">
        <v>120</v>
      </c>
      <c r="C139" s="467"/>
      <c r="D139" s="467"/>
      <c r="E139" s="467"/>
      <c r="F139" s="467"/>
      <c r="G139" s="467"/>
      <c r="H139" s="467"/>
      <c r="I139" s="194">
        <f>I110</f>
        <v>653.07399245664374</v>
      </c>
    </row>
    <row r="140" spans="1:11" ht="13.5" hidden="1" thickBot="1" x14ac:dyDescent="0.25">
      <c r="A140" s="468" t="s">
        <v>121</v>
      </c>
      <c r="B140" s="468"/>
      <c r="C140" s="468"/>
      <c r="D140" s="468"/>
      <c r="E140" s="468"/>
      <c r="F140" s="468"/>
      <c r="G140" s="468"/>
      <c r="H140" s="468"/>
      <c r="I140" s="40" t="e">
        <f>SUM(I137:I139)</f>
        <v>#REF!</v>
      </c>
    </row>
    <row r="141" spans="1:11" hidden="1" x14ac:dyDescent="0.2">
      <c r="A141" s="135" t="s">
        <v>122</v>
      </c>
      <c r="B141" s="45" t="s">
        <v>123</v>
      </c>
    </row>
  </sheetData>
  <mergeCells count="171">
    <mergeCell ref="B136:H136"/>
    <mergeCell ref="B137:H137"/>
    <mergeCell ref="B138:H138"/>
    <mergeCell ref="B139:H139"/>
    <mergeCell ref="A140:H140"/>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B117:H117"/>
    <mergeCell ref="B118:H118"/>
    <mergeCell ref="B119:H119"/>
    <mergeCell ref="B120:H120"/>
    <mergeCell ref="B121:H121"/>
    <mergeCell ref="A122:H122"/>
    <mergeCell ref="A110:G110"/>
    <mergeCell ref="B111:I111"/>
    <mergeCell ref="A113:I113"/>
    <mergeCell ref="A114:H114"/>
    <mergeCell ref="B115:H115"/>
    <mergeCell ref="B116:H116"/>
    <mergeCell ref="B104:G104"/>
    <mergeCell ref="B105:G105"/>
    <mergeCell ref="B106:G106"/>
    <mergeCell ref="B107:G107"/>
    <mergeCell ref="B108:G108"/>
    <mergeCell ref="B109:G109"/>
    <mergeCell ref="B98:G98"/>
    <mergeCell ref="B99:G99"/>
    <mergeCell ref="A100:G100"/>
    <mergeCell ref="A101:I101"/>
    <mergeCell ref="A102:I102"/>
    <mergeCell ref="B103:G103"/>
    <mergeCell ref="A92:H92"/>
    <mergeCell ref="A93:I93"/>
    <mergeCell ref="A94:I94"/>
    <mergeCell ref="B95:G95"/>
    <mergeCell ref="B96:G96"/>
    <mergeCell ref="B97:G97"/>
    <mergeCell ref="A86:I86"/>
    <mergeCell ref="A87:I87"/>
    <mergeCell ref="A88:H88"/>
    <mergeCell ref="B89:H89"/>
    <mergeCell ref="B90:H90"/>
    <mergeCell ref="B91:H91"/>
    <mergeCell ref="B80:G80"/>
    <mergeCell ref="A81:G81"/>
    <mergeCell ref="A82:I82"/>
    <mergeCell ref="A83:G83"/>
    <mergeCell ref="B84:G84"/>
    <mergeCell ref="A85:G85"/>
    <mergeCell ref="A74:G74"/>
    <mergeCell ref="B75:G75"/>
    <mergeCell ref="B76:G76"/>
    <mergeCell ref="B77:G77"/>
    <mergeCell ref="B78:G78"/>
    <mergeCell ref="B79:G79"/>
    <mergeCell ref="B68:G68"/>
    <mergeCell ref="B69:G69"/>
    <mergeCell ref="B70:G70"/>
    <mergeCell ref="A71:G71"/>
    <mergeCell ref="A72:I72"/>
    <mergeCell ref="A73:I73"/>
    <mergeCell ref="A62:I62"/>
    <mergeCell ref="A63:I63"/>
    <mergeCell ref="B64:G64"/>
    <mergeCell ref="B65:G65"/>
    <mergeCell ref="B66:G66"/>
    <mergeCell ref="B67:G67"/>
    <mergeCell ref="A56:I56"/>
    <mergeCell ref="A57:H57"/>
    <mergeCell ref="B58:H58"/>
    <mergeCell ref="B59:H59"/>
    <mergeCell ref="B60:H60"/>
    <mergeCell ref="A61:H61"/>
    <mergeCell ref="B50:G50"/>
    <mergeCell ref="B51:G51"/>
    <mergeCell ref="B52:G52"/>
    <mergeCell ref="B53:G53"/>
    <mergeCell ref="A54:H54"/>
    <mergeCell ref="A55:I55"/>
    <mergeCell ref="B44:G44"/>
    <mergeCell ref="B45:G45"/>
    <mergeCell ref="A46:G46"/>
    <mergeCell ref="A47:I47"/>
    <mergeCell ref="A48:G48"/>
    <mergeCell ref="B49:G49"/>
    <mergeCell ref="A35:G35"/>
    <mergeCell ref="A36:I36"/>
    <mergeCell ref="A37:G37"/>
    <mergeCell ref="K37:K45"/>
    <mergeCell ref="B38:G38"/>
    <mergeCell ref="B39:G39"/>
    <mergeCell ref="B40:G40"/>
    <mergeCell ref="B41:G41"/>
    <mergeCell ref="B42:G42"/>
    <mergeCell ref="B43:G43"/>
    <mergeCell ref="A28:H28"/>
    <mergeCell ref="A30:I30"/>
    <mergeCell ref="A31:G31"/>
    <mergeCell ref="B32:G32"/>
    <mergeCell ref="B33:G33"/>
    <mergeCell ref="B34:G34"/>
    <mergeCell ref="B22:G22"/>
    <mergeCell ref="B23:G23"/>
    <mergeCell ref="B24:G24"/>
    <mergeCell ref="B25:G25"/>
    <mergeCell ref="B26:G26"/>
    <mergeCell ref="B27:G27"/>
    <mergeCell ref="B16:H16"/>
    <mergeCell ref="B17:H17"/>
    <mergeCell ref="A18:I18"/>
    <mergeCell ref="A19:I19"/>
    <mergeCell ref="B20:G20"/>
    <mergeCell ref="B21:G21"/>
    <mergeCell ref="A12:I12"/>
    <mergeCell ref="L12:Q12"/>
    <mergeCell ref="R12:S12"/>
    <mergeCell ref="B13:H13"/>
    <mergeCell ref="B14:H14"/>
    <mergeCell ref="B15:H15"/>
    <mergeCell ref="A10:B10"/>
    <mergeCell ref="C10:D10"/>
    <mergeCell ref="E10:I10"/>
    <mergeCell ref="L10:Q10"/>
    <mergeCell ref="R10:S10"/>
    <mergeCell ref="L11:Q11"/>
    <mergeCell ref="R11:S11"/>
    <mergeCell ref="B6:H6"/>
    <mergeCell ref="K6:S6"/>
    <mergeCell ref="K7:S7"/>
    <mergeCell ref="A8:I8"/>
    <mergeCell ref="K8:S8"/>
    <mergeCell ref="A9:B9"/>
    <mergeCell ref="C9:D9"/>
    <mergeCell ref="E9:I9"/>
    <mergeCell ref="L9:Q9"/>
    <mergeCell ref="R9:S9"/>
    <mergeCell ref="B4:H4"/>
    <mergeCell ref="L4:M4"/>
    <mergeCell ref="N4:Q4"/>
    <mergeCell ref="R4:S4"/>
    <mergeCell ref="B5:H5"/>
    <mergeCell ref="K5:S5"/>
    <mergeCell ref="A2:I2"/>
    <mergeCell ref="K2:S2"/>
    <mergeCell ref="B3:H3"/>
    <mergeCell ref="L3:M3"/>
    <mergeCell ref="N3:Q3"/>
    <mergeCell ref="R3:S3"/>
  </mergeCells>
  <pageMargins left="0.25" right="0.25" top="0.75" bottom="0.75" header="0.3" footer="0.3"/>
  <pageSetup paperSize="9" firstPageNumber="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70C7-328A-4BE8-8A15-AE9B56AB0523}">
  <sheetPr>
    <tabColor rgb="FFFFFF00"/>
  </sheetPr>
  <dimension ref="A2:S141"/>
  <sheetViews>
    <sheetView tabSelected="1" topLeftCell="A91" zoomScale="118" zoomScaleNormal="118" workbookViewId="0">
      <selection activeCell="I104" sqref="I104"/>
    </sheetView>
  </sheetViews>
  <sheetFormatPr defaultColWidth="9.140625" defaultRowHeight="12.75" x14ac:dyDescent="0.2"/>
  <cols>
    <col min="1"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69" t="s">
        <v>1</v>
      </c>
      <c r="B3" s="373" t="s">
        <v>2</v>
      </c>
      <c r="C3" s="373"/>
      <c r="D3" s="373"/>
      <c r="E3" s="373"/>
      <c r="F3" s="373"/>
      <c r="G3" s="373"/>
      <c r="H3" s="373"/>
      <c r="I3" s="1">
        <v>44182</v>
      </c>
      <c r="K3" s="68"/>
      <c r="L3" s="410"/>
      <c r="M3" s="410"/>
      <c r="N3" s="410"/>
      <c r="O3" s="410"/>
      <c r="P3" s="410"/>
      <c r="Q3" s="410"/>
      <c r="R3" s="416"/>
      <c r="S3" s="416"/>
    </row>
    <row r="4" spans="1:19" x14ac:dyDescent="0.2">
      <c r="A4" s="69" t="s">
        <v>3</v>
      </c>
      <c r="B4" s="373" t="s">
        <v>4</v>
      </c>
      <c r="C4" s="373"/>
      <c r="D4" s="373"/>
      <c r="E4" s="373"/>
      <c r="F4" s="373"/>
      <c r="G4" s="373"/>
      <c r="H4" s="373"/>
      <c r="I4" s="69" t="s">
        <v>183</v>
      </c>
      <c r="K4" s="68"/>
      <c r="L4" s="407"/>
      <c r="M4" s="407"/>
      <c r="N4" s="410"/>
      <c r="O4" s="410"/>
      <c r="P4" s="410"/>
      <c r="Q4" s="410"/>
      <c r="R4" s="410"/>
      <c r="S4" s="410"/>
    </row>
    <row r="5" spans="1:19" x14ac:dyDescent="0.2">
      <c r="A5" s="69" t="s">
        <v>5</v>
      </c>
      <c r="B5" s="373" t="s">
        <v>6</v>
      </c>
      <c r="C5" s="373"/>
      <c r="D5" s="373"/>
      <c r="E5" s="373"/>
      <c r="F5" s="373"/>
      <c r="G5" s="373"/>
      <c r="H5" s="373"/>
      <c r="I5" s="69">
        <v>2020</v>
      </c>
      <c r="K5" s="414"/>
      <c r="L5" s="414"/>
      <c r="M5" s="414"/>
      <c r="N5" s="414"/>
      <c r="O5" s="414"/>
      <c r="P5" s="414"/>
      <c r="Q5" s="414"/>
      <c r="R5" s="414"/>
      <c r="S5" s="414"/>
    </row>
    <row r="6" spans="1:19" x14ac:dyDescent="0.2">
      <c r="A6" s="69" t="s">
        <v>7</v>
      </c>
      <c r="B6" s="373" t="s">
        <v>8</v>
      </c>
      <c r="C6" s="373"/>
      <c r="D6" s="373"/>
      <c r="E6" s="373"/>
      <c r="F6" s="373"/>
      <c r="G6" s="373"/>
      <c r="H6" s="373"/>
      <c r="I6" s="69">
        <v>12</v>
      </c>
      <c r="K6" s="414"/>
      <c r="L6" s="414"/>
      <c r="M6" s="414"/>
      <c r="N6" s="414"/>
      <c r="O6" s="414"/>
      <c r="P6" s="414"/>
      <c r="Q6" s="414"/>
      <c r="R6" s="414"/>
      <c r="S6" s="414"/>
    </row>
    <row r="7" spans="1:19" x14ac:dyDescent="0.2">
      <c r="A7" s="72"/>
      <c r="B7" s="71"/>
      <c r="C7" s="71"/>
      <c r="D7" s="71"/>
      <c r="E7" s="71"/>
      <c r="F7" s="71"/>
      <c r="G7" s="71"/>
      <c r="H7" s="72"/>
      <c r="I7" s="72"/>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68"/>
      <c r="L9" s="406"/>
      <c r="M9" s="406"/>
      <c r="N9" s="406"/>
      <c r="O9" s="406"/>
      <c r="P9" s="406"/>
      <c r="Q9" s="406"/>
      <c r="R9" s="410"/>
      <c r="S9" s="410"/>
    </row>
    <row r="10" spans="1:19" ht="27" customHeight="1" x14ac:dyDescent="0.2">
      <c r="A10" s="411" t="s">
        <v>130</v>
      </c>
      <c r="B10" s="411"/>
      <c r="C10" s="370"/>
      <c r="D10" s="370"/>
      <c r="E10" s="412">
        <v>1</v>
      </c>
      <c r="F10" s="412"/>
      <c r="G10" s="412"/>
      <c r="H10" s="412"/>
      <c r="I10" s="412"/>
      <c r="K10" s="67"/>
      <c r="L10" s="408"/>
      <c r="M10" s="408"/>
      <c r="N10" s="408"/>
      <c r="O10" s="408"/>
      <c r="P10" s="408"/>
      <c r="Q10" s="408"/>
      <c r="R10" s="413"/>
      <c r="S10" s="413"/>
    </row>
    <row r="11" spans="1:19" x14ac:dyDescent="0.2">
      <c r="A11" s="72"/>
      <c r="B11" s="71"/>
      <c r="C11" s="71"/>
      <c r="D11" s="71"/>
      <c r="E11" s="71"/>
      <c r="F11" s="71"/>
      <c r="G11" s="71"/>
      <c r="H11" s="72"/>
      <c r="I11" s="72"/>
      <c r="K11" s="68"/>
      <c r="L11" s="406"/>
      <c r="M11" s="406"/>
      <c r="N11" s="406"/>
      <c r="O11" s="406"/>
      <c r="P11" s="406"/>
      <c r="Q11" s="406"/>
      <c r="R11" s="407"/>
      <c r="S11" s="407"/>
    </row>
    <row r="12" spans="1:19" x14ac:dyDescent="0.2">
      <c r="A12" s="395" t="s">
        <v>13</v>
      </c>
      <c r="B12" s="395"/>
      <c r="C12" s="395"/>
      <c r="D12" s="395"/>
      <c r="E12" s="395"/>
      <c r="F12" s="395"/>
      <c r="G12" s="395"/>
      <c r="H12" s="395"/>
      <c r="I12" s="395"/>
      <c r="K12" s="67"/>
      <c r="L12" s="408"/>
      <c r="M12" s="408"/>
      <c r="N12" s="408"/>
      <c r="O12" s="408"/>
      <c r="P12" s="408"/>
      <c r="Q12" s="408"/>
      <c r="R12" s="409"/>
      <c r="S12" s="409"/>
    </row>
    <row r="13" spans="1:19" x14ac:dyDescent="0.2">
      <c r="A13" s="69">
        <v>1</v>
      </c>
      <c r="B13" s="373" t="s">
        <v>14</v>
      </c>
      <c r="C13" s="373"/>
      <c r="D13" s="373"/>
      <c r="E13" s="373"/>
      <c r="F13" s="373"/>
      <c r="G13" s="373"/>
      <c r="H13" s="373"/>
      <c r="I13" s="50" t="s">
        <v>184</v>
      </c>
      <c r="K13" s="2"/>
      <c r="L13" s="2"/>
      <c r="M13" s="2"/>
      <c r="N13" s="2"/>
      <c r="O13" s="2"/>
      <c r="P13" s="2"/>
      <c r="Q13" s="2"/>
      <c r="R13" s="2"/>
      <c r="S13" s="2"/>
    </row>
    <row r="14" spans="1:19" x14ac:dyDescent="0.2">
      <c r="A14" s="69">
        <v>2</v>
      </c>
      <c r="B14" s="373" t="s">
        <v>15</v>
      </c>
      <c r="C14" s="373"/>
      <c r="D14" s="373"/>
      <c r="E14" s="373"/>
      <c r="F14" s="373"/>
      <c r="G14" s="373"/>
      <c r="H14" s="373"/>
      <c r="I14" s="69"/>
    </row>
    <row r="15" spans="1:19" x14ac:dyDescent="0.2">
      <c r="A15" s="69">
        <v>3</v>
      </c>
      <c r="B15" s="373" t="s">
        <v>16</v>
      </c>
      <c r="C15" s="373"/>
      <c r="D15" s="373"/>
      <c r="E15" s="373"/>
      <c r="F15" s="373"/>
      <c r="G15" s="373"/>
      <c r="H15" s="373"/>
      <c r="I15" s="3">
        <v>1629</v>
      </c>
    </row>
    <row r="16" spans="1:19" x14ac:dyDescent="0.2">
      <c r="A16" s="69">
        <v>4</v>
      </c>
      <c r="B16" s="373" t="s">
        <v>17</v>
      </c>
      <c r="C16" s="373"/>
      <c r="D16" s="373"/>
      <c r="E16" s="373"/>
      <c r="F16" s="373"/>
      <c r="G16" s="373"/>
      <c r="H16" s="373"/>
      <c r="I16" s="1" t="str">
        <f>A10</f>
        <v>MOTORISTA</v>
      </c>
    </row>
    <row r="17" spans="1:12" x14ac:dyDescent="0.2">
      <c r="A17" s="69">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70">
        <v>1</v>
      </c>
      <c r="B20" s="389" t="s">
        <v>20</v>
      </c>
      <c r="C20" s="389"/>
      <c r="D20" s="389"/>
      <c r="E20" s="389"/>
      <c r="F20" s="389"/>
      <c r="G20" s="389"/>
      <c r="H20" s="70" t="s">
        <v>21</v>
      </c>
      <c r="I20" s="70" t="s">
        <v>22</v>
      </c>
    </row>
    <row r="21" spans="1:12" x14ac:dyDescent="0.2">
      <c r="A21" s="70" t="s">
        <v>1</v>
      </c>
      <c r="B21" s="373" t="s">
        <v>23</v>
      </c>
      <c r="C21" s="373"/>
      <c r="D21" s="373"/>
      <c r="E21" s="373"/>
      <c r="F21" s="373"/>
      <c r="G21" s="373"/>
      <c r="H21" s="4"/>
      <c r="I21" s="5">
        <f>I15</f>
        <v>1629</v>
      </c>
      <c r="L21" s="20">
        <f>I35+I46+I71+I81</f>
        <v>1073.7847534500002</v>
      </c>
    </row>
    <row r="22" spans="1:12" x14ac:dyDescent="0.2">
      <c r="A22" s="70" t="s">
        <v>3</v>
      </c>
      <c r="B22" s="373" t="s">
        <v>24</v>
      </c>
      <c r="C22" s="373"/>
      <c r="D22" s="373"/>
      <c r="E22" s="373"/>
      <c r="F22" s="373"/>
      <c r="G22" s="373"/>
      <c r="H22" s="6"/>
      <c r="I22" s="5">
        <v>0</v>
      </c>
      <c r="L22" s="53">
        <f>L21/I28</f>
        <v>0.65916805000000012</v>
      </c>
    </row>
    <row r="23" spans="1:12" x14ac:dyDescent="0.2">
      <c r="A23" s="70" t="s">
        <v>5</v>
      </c>
      <c r="B23" s="373" t="s">
        <v>25</v>
      </c>
      <c r="C23" s="373"/>
      <c r="D23" s="373"/>
      <c r="E23" s="373"/>
      <c r="F23" s="373"/>
      <c r="G23" s="373"/>
      <c r="H23" s="6">
        <v>0</v>
      </c>
      <c r="I23" s="5">
        <f>I21*H23</f>
        <v>0</v>
      </c>
    </row>
    <row r="24" spans="1:12" x14ac:dyDescent="0.2">
      <c r="A24" s="70" t="s">
        <v>7</v>
      </c>
      <c r="B24" s="373" t="s">
        <v>26</v>
      </c>
      <c r="C24" s="373"/>
      <c r="D24" s="373"/>
      <c r="E24" s="373"/>
      <c r="F24" s="373"/>
      <c r="G24" s="373"/>
      <c r="H24" s="6"/>
      <c r="I24" s="5">
        <v>0</v>
      </c>
    </row>
    <row r="25" spans="1:12" x14ac:dyDescent="0.2">
      <c r="A25" s="70" t="s">
        <v>27</v>
      </c>
      <c r="B25" s="373" t="s">
        <v>28</v>
      </c>
      <c r="C25" s="373"/>
      <c r="D25" s="373"/>
      <c r="E25" s="373"/>
      <c r="F25" s="373"/>
      <c r="G25" s="373"/>
      <c r="H25" s="6"/>
      <c r="I25" s="5">
        <v>0</v>
      </c>
    </row>
    <row r="26" spans="1:12" x14ac:dyDescent="0.2">
      <c r="A26" s="70" t="s">
        <v>29</v>
      </c>
      <c r="B26" s="373" t="s">
        <v>30</v>
      </c>
      <c r="C26" s="373"/>
      <c r="D26" s="373"/>
      <c r="E26" s="373"/>
      <c r="F26" s="373"/>
      <c r="G26" s="373"/>
      <c r="H26" s="6"/>
      <c r="I26" s="5">
        <v>0</v>
      </c>
    </row>
    <row r="27" spans="1:12" x14ac:dyDescent="0.2">
      <c r="A27" s="70"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1629</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70" t="s">
        <v>21</v>
      </c>
      <c r="I31" s="70" t="s">
        <v>22</v>
      </c>
      <c r="J31" s="48"/>
    </row>
    <row r="32" spans="1:12" x14ac:dyDescent="0.2">
      <c r="A32" s="70" t="s">
        <v>1</v>
      </c>
      <c r="B32" s="373" t="s">
        <v>36</v>
      </c>
      <c r="C32" s="373"/>
      <c r="D32" s="373"/>
      <c r="E32" s="373"/>
      <c r="F32" s="373"/>
      <c r="G32" s="373"/>
      <c r="H32" s="10">
        <v>8.3299999999999999E-2</v>
      </c>
      <c r="I32" s="5">
        <f>$I$28*H32</f>
        <v>135.69569999999999</v>
      </c>
      <c r="J32" s="48"/>
    </row>
    <row r="33" spans="1:11" x14ac:dyDescent="0.2">
      <c r="A33" s="70" t="s">
        <v>3</v>
      </c>
      <c r="B33" s="373" t="s">
        <v>185</v>
      </c>
      <c r="C33" s="373"/>
      <c r="D33" s="373"/>
      <c r="E33" s="373"/>
      <c r="F33" s="373"/>
      <c r="G33" s="373"/>
      <c r="H33" s="11">
        <v>2.7799999999999998E-2</v>
      </c>
      <c r="I33" s="5">
        <f>H33*I28</f>
        <v>45.286199999999994</v>
      </c>
      <c r="J33" s="48"/>
    </row>
    <row r="34" spans="1:11" x14ac:dyDescent="0.2">
      <c r="A34" s="79" t="s">
        <v>132</v>
      </c>
      <c r="B34" s="373" t="s">
        <v>133</v>
      </c>
      <c r="C34" s="373"/>
      <c r="D34" s="373"/>
      <c r="E34" s="373"/>
      <c r="F34" s="373"/>
      <c r="G34" s="373"/>
      <c r="H34" s="11">
        <f>(H32+H33)*H46</f>
        <v>3.9784910000000007E-2</v>
      </c>
      <c r="I34" s="5">
        <f>I28*H34</f>
        <v>64.809618390000011</v>
      </c>
      <c r="J34" s="48"/>
    </row>
    <row r="35" spans="1:11" x14ac:dyDescent="0.2">
      <c r="A35" s="389" t="s">
        <v>37</v>
      </c>
      <c r="B35" s="389"/>
      <c r="C35" s="389"/>
      <c r="D35" s="389"/>
      <c r="E35" s="389"/>
      <c r="F35" s="389"/>
      <c r="G35" s="389"/>
      <c r="H35" s="12">
        <f>TRUNC(SUM(H32:H33),4)</f>
        <v>0.1111</v>
      </c>
      <c r="I35" s="13">
        <f>SUM(I32:I34)</f>
        <v>245.79151839000002</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70" t="s">
        <v>21</v>
      </c>
      <c r="I37" s="70" t="s">
        <v>22</v>
      </c>
      <c r="J37" s="48"/>
      <c r="K37" s="404"/>
    </row>
    <row r="38" spans="1:11" x14ac:dyDescent="0.2">
      <c r="A38" s="70" t="s">
        <v>1</v>
      </c>
      <c r="B38" s="373" t="s">
        <v>39</v>
      </c>
      <c r="C38" s="373"/>
      <c r="D38" s="373"/>
      <c r="E38" s="373"/>
      <c r="F38" s="373"/>
      <c r="G38" s="373"/>
      <c r="H38" s="10">
        <v>0.2</v>
      </c>
      <c r="I38" s="5">
        <f>($I$28)*H38</f>
        <v>325.8</v>
      </c>
      <c r="J38" s="48"/>
      <c r="K38" s="404"/>
    </row>
    <row r="39" spans="1:11" x14ac:dyDescent="0.2">
      <c r="A39" s="70" t="s">
        <v>3</v>
      </c>
      <c r="B39" s="373" t="s">
        <v>40</v>
      </c>
      <c r="C39" s="373"/>
      <c r="D39" s="373"/>
      <c r="E39" s="373"/>
      <c r="F39" s="373"/>
      <c r="G39" s="373"/>
      <c r="H39" s="10">
        <v>2.5000000000000001E-2</v>
      </c>
      <c r="I39" s="5">
        <f t="shared" ref="I39:I45" si="0">($I$28)*H39</f>
        <v>40.725000000000001</v>
      </c>
      <c r="J39" s="48"/>
      <c r="K39" s="404"/>
    </row>
    <row r="40" spans="1:11" x14ac:dyDescent="0.2">
      <c r="A40" s="70" t="s">
        <v>5</v>
      </c>
      <c r="B40" s="373" t="s">
        <v>41</v>
      </c>
      <c r="C40" s="373"/>
      <c r="D40" s="373"/>
      <c r="E40" s="373"/>
      <c r="F40" s="373"/>
      <c r="G40" s="373"/>
      <c r="H40" s="10">
        <v>2.01E-2</v>
      </c>
      <c r="I40" s="5">
        <f t="shared" si="0"/>
        <v>32.742899999999999</v>
      </c>
      <c r="J40" s="48"/>
      <c r="K40" s="404"/>
    </row>
    <row r="41" spans="1:11" x14ac:dyDescent="0.2">
      <c r="A41" s="70" t="s">
        <v>7</v>
      </c>
      <c r="B41" s="373" t="s">
        <v>42</v>
      </c>
      <c r="C41" s="373"/>
      <c r="D41" s="373"/>
      <c r="E41" s="373"/>
      <c r="F41" s="373"/>
      <c r="G41" s="373"/>
      <c r="H41" s="10">
        <v>1.4999999999999999E-2</v>
      </c>
      <c r="I41" s="5">
        <f t="shared" si="0"/>
        <v>24.434999999999999</v>
      </c>
      <c r="J41" s="48"/>
      <c r="K41" s="404"/>
    </row>
    <row r="42" spans="1:11" x14ac:dyDescent="0.2">
      <c r="A42" s="70" t="s">
        <v>27</v>
      </c>
      <c r="B42" s="373" t="s">
        <v>43</v>
      </c>
      <c r="C42" s="373"/>
      <c r="D42" s="373"/>
      <c r="E42" s="373"/>
      <c r="F42" s="373"/>
      <c r="G42" s="373"/>
      <c r="H42" s="10">
        <v>0.01</v>
      </c>
      <c r="I42" s="5">
        <f t="shared" si="0"/>
        <v>16.29</v>
      </c>
      <c r="J42" s="48"/>
      <c r="K42" s="404"/>
    </row>
    <row r="43" spans="1:11" x14ac:dyDescent="0.2">
      <c r="A43" s="70" t="s">
        <v>29</v>
      </c>
      <c r="B43" s="373" t="s">
        <v>44</v>
      </c>
      <c r="C43" s="373"/>
      <c r="D43" s="373"/>
      <c r="E43" s="373"/>
      <c r="F43" s="373"/>
      <c r="G43" s="373"/>
      <c r="H43" s="10">
        <v>6.0000000000000001E-3</v>
      </c>
      <c r="I43" s="5">
        <f t="shared" si="0"/>
        <v>9.7740000000000009</v>
      </c>
      <c r="J43" s="48"/>
      <c r="K43" s="404"/>
    </row>
    <row r="44" spans="1:11" x14ac:dyDescent="0.2">
      <c r="A44" s="70" t="s">
        <v>31</v>
      </c>
      <c r="B44" s="373" t="s">
        <v>45</v>
      </c>
      <c r="C44" s="373"/>
      <c r="D44" s="373"/>
      <c r="E44" s="373"/>
      <c r="F44" s="373"/>
      <c r="G44" s="373"/>
      <c r="H44" s="10">
        <v>2E-3</v>
      </c>
      <c r="I44" s="5">
        <f t="shared" si="0"/>
        <v>3.258</v>
      </c>
      <c r="J44" s="48"/>
      <c r="K44" s="404"/>
    </row>
    <row r="45" spans="1:11" x14ac:dyDescent="0.2">
      <c r="A45" s="70" t="s">
        <v>46</v>
      </c>
      <c r="B45" s="373" t="s">
        <v>47</v>
      </c>
      <c r="C45" s="373"/>
      <c r="D45" s="373"/>
      <c r="E45" s="373"/>
      <c r="F45" s="373"/>
      <c r="G45" s="373"/>
      <c r="H45" s="10">
        <v>0.08</v>
      </c>
      <c r="I45" s="5">
        <f t="shared" si="0"/>
        <v>130.32</v>
      </c>
      <c r="J45" s="48"/>
      <c r="K45" s="404"/>
    </row>
    <row r="46" spans="1:11" x14ac:dyDescent="0.2">
      <c r="A46" s="389" t="s">
        <v>48</v>
      </c>
      <c r="B46" s="389"/>
      <c r="C46" s="389"/>
      <c r="D46" s="389"/>
      <c r="E46" s="389"/>
      <c r="F46" s="389"/>
      <c r="G46" s="389"/>
      <c r="H46" s="12">
        <f>SUM(H38:H45)</f>
        <v>0.35810000000000003</v>
      </c>
      <c r="I46" s="13">
        <f>(SUM(I38:I45))</f>
        <v>583.34490000000005</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70" t="s">
        <v>22</v>
      </c>
      <c r="J48" s="48"/>
    </row>
    <row r="49" spans="1:10" x14ac:dyDescent="0.2">
      <c r="A49" s="70" t="s">
        <v>1</v>
      </c>
      <c r="B49" s="393" t="s">
        <v>125</v>
      </c>
      <c r="C49" s="393"/>
      <c r="D49" s="393"/>
      <c r="E49" s="393"/>
      <c r="F49" s="393"/>
      <c r="G49" s="393"/>
      <c r="H49" s="55">
        <v>3.65</v>
      </c>
      <c r="I49" s="14">
        <f>(H49*2*22)-(I21*0.06)</f>
        <v>62.86</v>
      </c>
      <c r="J49" s="48"/>
    </row>
    <row r="50" spans="1:10" x14ac:dyDescent="0.2">
      <c r="A50" s="70" t="s">
        <v>3</v>
      </c>
      <c r="B50" s="393" t="s">
        <v>124</v>
      </c>
      <c r="C50" s="393"/>
      <c r="D50" s="393"/>
      <c r="E50" s="393"/>
      <c r="F50" s="393"/>
      <c r="G50" s="393"/>
      <c r="H50" s="55">
        <v>418</v>
      </c>
      <c r="I50" s="15">
        <f>H50*0.8</f>
        <v>334.40000000000003</v>
      </c>
      <c r="J50" s="49"/>
    </row>
    <row r="51" spans="1:10" x14ac:dyDescent="0.2">
      <c r="A51" s="70" t="s">
        <v>5</v>
      </c>
      <c r="B51" s="393" t="s">
        <v>126</v>
      </c>
      <c r="C51" s="393"/>
      <c r="D51" s="393"/>
      <c r="E51" s="393"/>
      <c r="F51" s="393"/>
      <c r="G51" s="393"/>
      <c r="H51" s="55">
        <v>0</v>
      </c>
      <c r="I51" s="14">
        <f>H51</f>
        <v>0</v>
      </c>
      <c r="J51" s="48"/>
    </row>
    <row r="52" spans="1:10" x14ac:dyDescent="0.2">
      <c r="A52" s="70" t="s">
        <v>7</v>
      </c>
      <c r="B52" s="397" t="s">
        <v>127</v>
      </c>
      <c r="C52" s="398"/>
      <c r="D52" s="398"/>
      <c r="E52" s="398"/>
      <c r="F52" s="398"/>
      <c r="G52" s="399"/>
      <c r="H52" s="55">
        <v>0</v>
      </c>
      <c r="I52" s="14">
        <f>H52</f>
        <v>0</v>
      </c>
      <c r="J52" s="48"/>
    </row>
    <row r="53" spans="1:10" x14ac:dyDescent="0.2">
      <c r="A53" s="70"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405.26000000000005</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70" t="s">
        <v>22</v>
      </c>
      <c r="J57" s="48"/>
    </row>
    <row r="58" spans="1:10" x14ac:dyDescent="0.2">
      <c r="A58" s="70" t="s">
        <v>54</v>
      </c>
      <c r="B58" s="370" t="s">
        <v>55</v>
      </c>
      <c r="C58" s="370"/>
      <c r="D58" s="370"/>
      <c r="E58" s="370"/>
      <c r="F58" s="370"/>
      <c r="G58" s="370"/>
      <c r="H58" s="370"/>
      <c r="I58" s="16">
        <f>I35</f>
        <v>245.79151839000002</v>
      </c>
      <c r="J58" s="48"/>
    </row>
    <row r="59" spans="1:10" x14ac:dyDescent="0.2">
      <c r="A59" s="70" t="s">
        <v>56</v>
      </c>
      <c r="B59" s="370" t="s">
        <v>57</v>
      </c>
      <c r="C59" s="370"/>
      <c r="D59" s="370"/>
      <c r="E59" s="370"/>
      <c r="F59" s="370"/>
      <c r="G59" s="370"/>
      <c r="H59" s="370"/>
      <c r="I59" s="16">
        <f>I46</f>
        <v>583.34490000000005</v>
      </c>
      <c r="J59" s="48"/>
    </row>
    <row r="60" spans="1:10" x14ac:dyDescent="0.2">
      <c r="A60" s="70" t="s">
        <v>58</v>
      </c>
      <c r="B60" s="370" t="s">
        <v>59</v>
      </c>
      <c r="C60" s="370"/>
      <c r="D60" s="370"/>
      <c r="E60" s="370"/>
      <c r="F60" s="370"/>
      <c r="G60" s="370"/>
      <c r="H60" s="370"/>
      <c r="I60" s="16">
        <f>I54</f>
        <v>405.26000000000005</v>
      </c>
      <c r="J60" s="48"/>
    </row>
    <row r="61" spans="1:10" x14ac:dyDescent="0.2">
      <c r="A61" s="389" t="s">
        <v>60</v>
      </c>
      <c r="B61" s="389"/>
      <c r="C61" s="389"/>
      <c r="D61" s="389"/>
      <c r="E61" s="389"/>
      <c r="F61" s="389"/>
      <c r="G61" s="389"/>
      <c r="H61" s="389"/>
      <c r="I61" s="13">
        <f>(SUM(I58:I60))</f>
        <v>1234.39641839</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70">
        <v>3</v>
      </c>
      <c r="B64" s="389" t="s">
        <v>62</v>
      </c>
      <c r="C64" s="389"/>
      <c r="D64" s="389"/>
      <c r="E64" s="389"/>
      <c r="F64" s="389"/>
      <c r="G64" s="389"/>
      <c r="H64" s="70" t="s">
        <v>21</v>
      </c>
      <c r="I64" s="70" t="s">
        <v>22</v>
      </c>
      <c r="J64" s="48"/>
    </row>
    <row r="65" spans="1:11" x14ac:dyDescent="0.2">
      <c r="A65" s="70" t="s">
        <v>1</v>
      </c>
      <c r="B65" s="373" t="s">
        <v>63</v>
      </c>
      <c r="C65" s="373"/>
      <c r="D65" s="373"/>
      <c r="E65" s="373"/>
      <c r="F65" s="373"/>
      <c r="G65" s="373"/>
      <c r="H65" s="17">
        <v>4.1999999999999997E-3</v>
      </c>
      <c r="I65" s="16">
        <f>$I$28*H65</f>
        <v>6.8417999999999992</v>
      </c>
      <c r="J65" s="48"/>
    </row>
    <row r="66" spans="1:11" x14ac:dyDescent="0.2">
      <c r="A66" s="70" t="s">
        <v>3</v>
      </c>
      <c r="B66" s="373" t="s">
        <v>64</v>
      </c>
      <c r="C66" s="373"/>
      <c r="D66" s="373"/>
      <c r="E66" s="373"/>
      <c r="F66" s="373"/>
      <c r="G66" s="373"/>
      <c r="H66" s="17">
        <f>H45*H65</f>
        <v>3.3599999999999998E-4</v>
      </c>
      <c r="I66" s="5">
        <f>H66*I28</f>
        <v>0.54734399999999994</v>
      </c>
      <c r="J66" s="48"/>
    </row>
    <row r="67" spans="1:11" x14ac:dyDescent="0.2">
      <c r="A67" s="70" t="s">
        <v>5</v>
      </c>
      <c r="B67" s="373" t="s">
        <v>65</v>
      </c>
      <c r="C67" s="373"/>
      <c r="D67" s="373"/>
      <c r="E67" s="373"/>
      <c r="F67" s="373"/>
      <c r="G67" s="373"/>
      <c r="H67" s="18">
        <v>0.01</v>
      </c>
      <c r="I67" s="5">
        <f>$I$28*H67</f>
        <v>16.29</v>
      </c>
      <c r="J67" s="48"/>
    </row>
    <row r="68" spans="1:11" x14ac:dyDescent="0.2">
      <c r="A68" s="70" t="s">
        <v>7</v>
      </c>
      <c r="B68" s="373" t="s">
        <v>66</v>
      </c>
      <c r="C68" s="373"/>
      <c r="D68" s="373"/>
      <c r="E68" s="373"/>
      <c r="F68" s="373"/>
      <c r="G68" s="373"/>
      <c r="H68" s="46">
        <v>1.9400000000000001E-2</v>
      </c>
      <c r="I68" s="5">
        <f>$I$28*H68</f>
        <v>31.602600000000002</v>
      </c>
      <c r="J68" s="48"/>
    </row>
    <row r="69" spans="1:11" x14ac:dyDescent="0.2">
      <c r="A69" s="70" t="s">
        <v>27</v>
      </c>
      <c r="B69" s="373" t="s">
        <v>67</v>
      </c>
      <c r="C69" s="373"/>
      <c r="D69" s="373"/>
      <c r="E69" s="373"/>
      <c r="F69" s="373"/>
      <c r="G69" s="373"/>
      <c r="H69" s="19">
        <f>H46*H68</f>
        <v>6.947140000000001E-3</v>
      </c>
      <c r="I69" s="5">
        <f>$I$28*H69</f>
        <v>11.316891060000001</v>
      </c>
      <c r="J69" s="48"/>
    </row>
    <row r="70" spans="1:11" x14ac:dyDescent="0.2">
      <c r="A70" s="70" t="s">
        <v>29</v>
      </c>
      <c r="B70" s="373" t="s">
        <v>68</v>
      </c>
      <c r="C70" s="373"/>
      <c r="D70" s="373"/>
      <c r="E70" s="373"/>
      <c r="F70" s="373"/>
      <c r="G70" s="373"/>
      <c r="H70" s="54">
        <v>2.1999999999999999E-2</v>
      </c>
      <c r="I70" s="5">
        <f>$I$28*H70</f>
        <v>35.838000000000001</v>
      </c>
      <c r="J70" s="48"/>
      <c r="K70" s="20"/>
    </row>
    <row r="71" spans="1:11" x14ac:dyDescent="0.2">
      <c r="A71" s="389" t="s">
        <v>69</v>
      </c>
      <c r="B71" s="389"/>
      <c r="C71" s="389"/>
      <c r="D71" s="389"/>
      <c r="E71" s="389"/>
      <c r="F71" s="389"/>
      <c r="G71" s="389"/>
      <c r="H71" s="12">
        <f>TRUNC(SUM(H65:H70),4)</f>
        <v>6.2799999999999995E-2</v>
      </c>
      <c r="I71" s="13">
        <f>(SUM(I65:I70))</f>
        <v>102.43663506000001</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70" t="s">
        <v>21</v>
      </c>
      <c r="I74" s="70" t="s">
        <v>22</v>
      </c>
      <c r="J74" s="48"/>
    </row>
    <row r="75" spans="1:11" x14ac:dyDescent="0.2">
      <c r="A75" s="70" t="s">
        <v>1</v>
      </c>
      <c r="B75" s="373" t="s">
        <v>186</v>
      </c>
      <c r="C75" s="373"/>
      <c r="D75" s="373"/>
      <c r="E75" s="373"/>
      <c r="F75" s="373"/>
      <c r="G75" s="373"/>
      <c r="H75" s="148">
        <v>8.3299999999999999E-2</v>
      </c>
      <c r="I75" s="5">
        <f t="shared" ref="I75:I80" si="1">$I$28*H75</f>
        <v>135.69569999999999</v>
      </c>
      <c r="J75" s="48"/>
    </row>
    <row r="76" spans="1:11" x14ac:dyDescent="0.2">
      <c r="A76" s="70" t="s">
        <v>3</v>
      </c>
      <c r="B76" s="373" t="s">
        <v>187</v>
      </c>
      <c r="C76" s="373"/>
      <c r="D76" s="373"/>
      <c r="E76" s="373"/>
      <c r="F76" s="373"/>
      <c r="G76" s="373"/>
      <c r="H76" s="148">
        <v>2.8E-3</v>
      </c>
      <c r="I76" s="16">
        <f t="shared" si="1"/>
        <v>4.5612000000000004</v>
      </c>
      <c r="J76" s="48"/>
    </row>
    <row r="77" spans="1:11" x14ac:dyDescent="0.2">
      <c r="A77" s="70" t="s">
        <v>5</v>
      </c>
      <c r="B77" s="373" t="s">
        <v>188</v>
      </c>
      <c r="C77" s="373"/>
      <c r="D77" s="373"/>
      <c r="E77" s="373"/>
      <c r="F77" s="373"/>
      <c r="G77" s="373"/>
      <c r="H77" s="17">
        <v>2.0000000000000001E-4</v>
      </c>
      <c r="I77" s="16">
        <f t="shared" si="1"/>
        <v>0.32580000000000003</v>
      </c>
      <c r="J77" s="48"/>
    </row>
    <row r="78" spans="1:11" x14ac:dyDescent="0.2">
      <c r="A78" s="70" t="s">
        <v>7</v>
      </c>
      <c r="B78" s="373" t="s">
        <v>189</v>
      </c>
      <c r="C78" s="373"/>
      <c r="D78" s="373"/>
      <c r="E78" s="373"/>
      <c r="F78" s="373"/>
      <c r="G78" s="373"/>
      <c r="H78" s="148">
        <v>2.9999999999999997E-4</v>
      </c>
      <c r="I78" s="16">
        <f t="shared" si="1"/>
        <v>0.48869999999999997</v>
      </c>
      <c r="J78" s="48"/>
    </row>
    <row r="79" spans="1:11" x14ac:dyDescent="0.2">
      <c r="A79" s="70" t="s">
        <v>27</v>
      </c>
      <c r="B79" s="373" t="s">
        <v>190</v>
      </c>
      <c r="C79" s="373"/>
      <c r="D79" s="373"/>
      <c r="E79" s="373"/>
      <c r="F79" s="373"/>
      <c r="G79" s="373"/>
      <c r="H79" s="17">
        <v>6.9999999999999999E-4</v>
      </c>
      <c r="I79" s="16">
        <f t="shared" si="1"/>
        <v>1.1403000000000001</v>
      </c>
      <c r="J79" s="48"/>
    </row>
    <row r="80" spans="1:11" x14ac:dyDescent="0.2">
      <c r="A80" s="70"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142.21169999999998</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70" t="s">
        <v>21</v>
      </c>
      <c r="I83" s="70" t="s">
        <v>22</v>
      </c>
      <c r="J83" s="48"/>
    </row>
    <row r="84" spans="1:10" x14ac:dyDescent="0.2">
      <c r="A84" s="70"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70" t="s">
        <v>22</v>
      </c>
      <c r="J88" s="48"/>
    </row>
    <row r="89" spans="1:10" x14ac:dyDescent="0.2">
      <c r="A89" s="70" t="s">
        <v>77</v>
      </c>
      <c r="B89" s="370" t="s">
        <v>193</v>
      </c>
      <c r="C89" s="370"/>
      <c r="D89" s="370"/>
      <c r="E89" s="370"/>
      <c r="F89" s="370"/>
      <c r="G89" s="370"/>
      <c r="H89" s="370"/>
      <c r="I89" s="16">
        <f>I81</f>
        <v>142.21169999999998</v>
      </c>
      <c r="J89" s="48"/>
    </row>
    <row r="90" spans="1:10" x14ac:dyDescent="0.2">
      <c r="A90" s="70" t="s">
        <v>78</v>
      </c>
      <c r="B90" s="370" t="s">
        <v>194</v>
      </c>
      <c r="C90" s="370"/>
      <c r="D90" s="370"/>
      <c r="E90" s="370"/>
      <c r="F90" s="370"/>
      <c r="G90" s="370"/>
      <c r="H90" s="370"/>
      <c r="I90" s="16">
        <f>I85</f>
        <v>0</v>
      </c>
      <c r="J90" s="48"/>
    </row>
    <row r="91" spans="1:10" x14ac:dyDescent="0.2">
      <c r="A91" s="125" t="s">
        <v>46</v>
      </c>
      <c r="B91" s="370" t="s">
        <v>195</v>
      </c>
      <c r="C91" s="370"/>
      <c r="D91" s="370"/>
      <c r="E91" s="370"/>
      <c r="F91" s="370"/>
      <c r="G91" s="370"/>
      <c r="H91" s="370"/>
      <c r="I91" s="16">
        <f>(H81*H46)*I89</f>
        <v>4.4458406529210004</v>
      </c>
      <c r="J91" s="48"/>
    </row>
    <row r="92" spans="1:10" x14ac:dyDescent="0.2">
      <c r="A92" s="389" t="s">
        <v>79</v>
      </c>
      <c r="B92" s="389"/>
      <c r="C92" s="389"/>
      <c r="D92" s="389"/>
      <c r="E92" s="389"/>
      <c r="F92" s="389"/>
      <c r="G92" s="389"/>
      <c r="H92" s="389"/>
      <c r="I92" s="13">
        <f>(SUM(I89:I90))</f>
        <v>142.21169999999998</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70">
        <v>5</v>
      </c>
      <c r="B95" s="389" t="s">
        <v>81</v>
      </c>
      <c r="C95" s="389"/>
      <c r="D95" s="389"/>
      <c r="E95" s="389"/>
      <c r="F95" s="389"/>
      <c r="G95" s="389"/>
      <c r="H95" s="70"/>
      <c r="I95" s="70" t="s">
        <v>22</v>
      </c>
      <c r="J95" s="48"/>
    </row>
    <row r="96" spans="1:10" x14ac:dyDescent="0.2">
      <c r="A96" s="70" t="s">
        <v>1</v>
      </c>
      <c r="B96" s="393" t="s">
        <v>82</v>
      </c>
      <c r="C96" s="393"/>
      <c r="D96" s="393"/>
      <c r="E96" s="393"/>
      <c r="F96" s="393"/>
      <c r="G96" s="393"/>
      <c r="H96" s="69" t="s">
        <v>50</v>
      </c>
      <c r="I96" s="66">
        <f>UNIFORME!F10</f>
        <v>28.666666666666668</v>
      </c>
      <c r="J96" s="48"/>
    </row>
    <row r="97" spans="1:13" x14ac:dyDescent="0.2">
      <c r="A97" s="70" t="s">
        <v>3</v>
      </c>
      <c r="B97" s="393" t="s">
        <v>83</v>
      </c>
      <c r="C97" s="393"/>
      <c r="D97" s="393"/>
      <c r="E97" s="393"/>
      <c r="F97" s="393"/>
      <c r="G97" s="393"/>
      <c r="H97" s="69" t="s">
        <v>50</v>
      </c>
      <c r="I97" s="16">
        <v>0</v>
      </c>
      <c r="J97" s="48"/>
    </row>
    <row r="98" spans="1:13" x14ac:dyDescent="0.2">
      <c r="A98" s="21" t="s">
        <v>5</v>
      </c>
      <c r="B98" s="393" t="s">
        <v>84</v>
      </c>
      <c r="C98" s="393"/>
      <c r="D98" s="393"/>
      <c r="E98" s="393"/>
      <c r="F98" s="393"/>
      <c r="G98" s="393"/>
      <c r="H98" s="69" t="s">
        <v>50</v>
      </c>
      <c r="I98" s="16">
        <v>0</v>
      </c>
      <c r="J98" s="48"/>
    </row>
    <row r="99" spans="1:13" x14ac:dyDescent="0.2">
      <c r="A99" s="21" t="s">
        <v>7</v>
      </c>
      <c r="B99" s="393" t="s">
        <v>165</v>
      </c>
      <c r="C99" s="393"/>
      <c r="D99" s="393"/>
      <c r="E99" s="393"/>
      <c r="F99" s="393"/>
      <c r="G99" s="393"/>
      <c r="H99" s="69" t="s">
        <v>50</v>
      </c>
      <c r="I99" s="16">
        <v>50</v>
      </c>
      <c r="J99" s="48"/>
    </row>
    <row r="100" spans="1:13" x14ac:dyDescent="0.2">
      <c r="A100" s="389" t="s">
        <v>85</v>
      </c>
      <c r="B100" s="389"/>
      <c r="C100" s="389"/>
      <c r="D100" s="389"/>
      <c r="E100" s="389"/>
      <c r="F100" s="389"/>
      <c r="G100" s="389"/>
      <c r="H100" s="12" t="s">
        <v>50</v>
      </c>
      <c r="I100" s="13">
        <f>(SUM(I96:I99))</f>
        <v>78.666666666666671</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70">
        <v>6</v>
      </c>
      <c r="B103" s="389" t="s">
        <v>87</v>
      </c>
      <c r="C103" s="389"/>
      <c r="D103" s="389"/>
      <c r="E103" s="389"/>
      <c r="F103" s="389"/>
      <c r="G103" s="389"/>
      <c r="H103" s="70" t="s">
        <v>21</v>
      </c>
      <c r="I103" s="70" t="s">
        <v>22</v>
      </c>
      <c r="J103" s="48"/>
      <c r="K103" s="52">
        <f>'ANEXO VII'!M57</f>
        <v>197.15170301310718</v>
      </c>
    </row>
    <row r="104" spans="1:13" x14ac:dyDescent="0.2">
      <c r="A104" s="70" t="s">
        <v>1</v>
      </c>
      <c r="B104" s="373" t="s">
        <v>88</v>
      </c>
      <c r="C104" s="373"/>
      <c r="D104" s="373"/>
      <c r="E104" s="373"/>
      <c r="F104" s="373"/>
      <c r="G104" s="373"/>
      <c r="H104" s="22">
        <v>5.21E-2</v>
      </c>
      <c r="I104" s="16">
        <f>I120*H104</f>
        <v>166.0276649880783</v>
      </c>
      <c r="J104" s="48"/>
      <c r="M104" s="52"/>
    </row>
    <row r="105" spans="1:13" x14ac:dyDescent="0.2">
      <c r="A105" s="70" t="s">
        <v>3</v>
      </c>
      <c r="B105" s="373" t="s">
        <v>89</v>
      </c>
      <c r="C105" s="373"/>
      <c r="D105" s="373"/>
      <c r="E105" s="373"/>
      <c r="F105" s="373"/>
      <c r="G105" s="373"/>
      <c r="H105" s="22">
        <v>0.05</v>
      </c>
      <c r="I105" s="16">
        <f>(I120+I104)*H105</f>
        <v>167.63695425523724</v>
      </c>
      <c r="J105" s="48"/>
    </row>
    <row r="106" spans="1:13" x14ac:dyDescent="0.2">
      <c r="A106" s="70" t="s">
        <v>5</v>
      </c>
      <c r="B106" s="392" t="s">
        <v>90</v>
      </c>
      <c r="C106" s="392"/>
      <c r="D106" s="392"/>
      <c r="E106" s="392"/>
      <c r="F106" s="392"/>
      <c r="G106" s="392"/>
      <c r="H106" s="23">
        <f>H107+H108+H109</f>
        <v>8.6499999999999994E-2</v>
      </c>
      <c r="I106" s="24"/>
      <c r="J106" s="48"/>
    </row>
    <row r="107" spans="1:13" x14ac:dyDescent="0.2">
      <c r="A107" s="70" t="s">
        <v>91</v>
      </c>
      <c r="B107" s="373" t="s">
        <v>92</v>
      </c>
      <c r="C107" s="373"/>
      <c r="D107" s="373"/>
      <c r="E107" s="373"/>
      <c r="F107" s="373"/>
      <c r="G107" s="373"/>
      <c r="H107" s="25">
        <v>6.4999999999999997E-3</v>
      </c>
      <c r="I107" s="16">
        <f>K110*H107</f>
        <v>25.049200061127397</v>
      </c>
      <c r="J107" s="48"/>
      <c r="K107" s="65">
        <f>1-H106</f>
        <v>0.91349999999999998</v>
      </c>
    </row>
    <row r="108" spans="1:13" x14ac:dyDescent="0.2">
      <c r="A108" s="70" t="s">
        <v>93</v>
      </c>
      <c r="B108" s="373" t="s">
        <v>94</v>
      </c>
      <c r="C108" s="373"/>
      <c r="D108" s="373"/>
      <c r="E108" s="373"/>
      <c r="F108" s="373"/>
      <c r="G108" s="373"/>
      <c r="H108" s="25">
        <v>0.03</v>
      </c>
      <c r="I108" s="16">
        <f>K110*H108</f>
        <v>115.61169258981876</v>
      </c>
      <c r="J108" s="48"/>
      <c r="K108" s="45">
        <f>K107/1</f>
        <v>0.91349999999999998</v>
      </c>
    </row>
    <row r="109" spans="1:13" x14ac:dyDescent="0.2">
      <c r="A109" s="70" t="s">
        <v>95</v>
      </c>
      <c r="B109" s="373" t="s">
        <v>96</v>
      </c>
      <c r="C109" s="373"/>
      <c r="D109" s="373"/>
      <c r="E109" s="373"/>
      <c r="F109" s="373"/>
      <c r="G109" s="373"/>
      <c r="H109" s="26">
        <v>0.05</v>
      </c>
      <c r="I109" s="16">
        <f>K110*H109</f>
        <v>192.68615431636462</v>
      </c>
      <c r="J109" s="48"/>
      <c r="K109" s="20">
        <f>I120+I104+I105</f>
        <v>3520.3760393599814</v>
      </c>
    </row>
    <row r="110" spans="1:13" x14ac:dyDescent="0.2">
      <c r="A110" s="389" t="s">
        <v>97</v>
      </c>
      <c r="B110" s="389"/>
      <c r="C110" s="389"/>
      <c r="D110" s="389"/>
      <c r="E110" s="389"/>
      <c r="F110" s="389"/>
      <c r="G110" s="389"/>
      <c r="H110" s="25">
        <f>SUM(H104+H105+H106)</f>
        <v>0.18859999999999999</v>
      </c>
      <c r="I110" s="13">
        <f>(SUM(I104:I109))</f>
        <v>667.01166621062634</v>
      </c>
      <c r="J110" s="48"/>
      <c r="K110" s="20">
        <f>K109/K108</f>
        <v>3853.7230863272921</v>
      </c>
    </row>
    <row r="111" spans="1:13" x14ac:dyDescent="0.2">
      <c r="A111" s="72"/>
      <c r="B111" s="390"/>
      <c r="C111" s="390"/>
      <c r="D111" s="390"/>
      <c r="E111" s="390"/>
      <c r="F111" s="390"/>
      <c r="G111" s="390"/>
      <c r="H111" s="390"/>
      <c r="I111" s="390"/>
    </row>
    <row r="112" spans="1:13" x14ac:dyDescent="0.2">
      <c r="A112" s="72"/>
      <c r="B112" s="72"/>
      <c r="C112" s="72"/>
      <c r="D112" s="72"/>
      <c r="E112" s="72"/>
      <c r="F112" s="72"/>
      <c r="G112" s="72"/>
      <c r="H112" s="72"/>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70" t="s">
        <v>22</v>
      </c>
    </row>
    <row r="115" spans="1:12" x14ac:dyDescent="0.2">
      <c r="A115" s="69" t="s">
        <v>1</v>
      </c>
      <c r="B115" s="373" t="str">
        <f>A19</f>
        <v>MÓDULO 1 - COMPOSIÇÃO DA REMUNERAÇÃO</v>
      </c>
      <c r="C115" s="373"/>
      <c r="D115" s="373"/>
      <c r="E115" s="373"/>
      <c r="F115" s="373"/>
      <c r="G115" s="373"/>
      <c r="H115" s="373"/>
      <c r="I115" s="16">
        <f>I28</f>
        <v>1629</v>
      </c>
      <c r="K115" s="20"/>
      <c r="L115" s="53"/>
    </row>
    <row r="116" spans="1:12" x14ac:dyDescent="0.2">
      <c r="A116" s="69" t="s">
        <v>3</v>
      </c>
      <c r="B116" s="373" t="str">
        <f>A30</f>
        <v>MÓDULO 2 – ENCARGOS E BENEFÍCIOS ANUAIS, MENSAIS E DIÁRIOS</v>
      </c>
      <c r="C116" s="373"/>
      <c r="D116" s="373"/>
      <c r="E116" s="373"/>
      <c r="F116" s="373"/>
      <c r="G116" s="373"/>
      <c r="H116" s="373"/>
      <c r="I116" s="16">
        <f>I61</f>
        <v>1234.39641839</v>
      </c>
    </row>
    <row r="117" spans="1:12" x14ac:dyDescent="0.2">
      <c r="A117" s="69" t="s">
        <v>5</v>
      </c>
      <c r="B117" s="373" t="str">
        <f>A63</f>
        <v>MÓDULO 3 – PROVISÃO PARA RESCISÃO</v>
      </c>
      <c r="C117" s="373"/>
      <c r="D117" s="373"/>
      <c r="E117" s="373"/>
      <c r="F117" s="373"/>
      <c r="G117" s="373"/>
      <c r="H117" s="373"/>
      <c r="I117" s="16">
        <f>I71</f>
        <v>102.43663506000001</v>
      </c>
    </row>
    <row r="118" spans="1:12" x14ac:dyDescent="0.2">
      <c r="A118" s="69" t="s">
        <v>7</v>
      </c>
      <c r="B118" s="373" t="str">
        <f>A73</f>
        <v>MÓDULO 4 – CUSTO DE REPOSIÇÃO DO PROFISSIONAL AUSENTE</v>
      </c>
      <c r="C118" s="373"/>
      <c r="D118" s="373"/>
      <c r="E118" s="373"/>
      <c r="F118" s="373"/>
      <c r="G118" s="373"/>
      <c r="H118" s="373"/>
      <c r="I118" s="16">
        <f>I92</f>
        <v>142.21169999999998</v>
      </c>
    </row>
    <row r="119" spans="1:12" x14ac:dyDescent="0.2">
      <c r="A119" s="69" t="s">
        <v>27</v>
      </c>
      <c r="B119" s="373" t="str">
        <f>A94</f>
        <v>MÓDULO 5 – INSUMOS DIVERSOS</v>
      </c>
      <c r="C119" s="373"/>
      <c r="D119" s="373"/>
      <c r="E119" s="373"/>
      <c r="F119" s="373"/>
      <c r="G119" s="373"/>
      <c r="H119" s="373"/>
      <c r="I119" s="16">
        <f>I100</f>
        <v>78.666666666666671</v>
      </c>
    </row>
    <row r="120" spans="1:12" x14ac:dyDescent="0.2">
      <c r="A120" s="70"/>
      <c r="B120" s="389" t="s">
        <v>100</v>
      </c>
      <c r="C120" s="389"/>
      <c r="D120" s="389"/>
      <c r="E120" s="389"/>
      <c r="F120" s="389"/>
      <c r="G120" s="389"/>
      <c r="H120" s="389"/>
      <c r="I120" s="13">
        <f>(SUM(I115:I119))</f>
        <v>3186.711420116666</v>
      </c>
    </row>
    <row r="121" spans="1:12" x14ac:dyDescent="0.2">
      <c r="A121" s="69" t="s">
        <v>29</v>
      </c>
      <c r="B121" s="373" t="str">
        <f>A102</f>
        <v>MÓDULO 6 – CUSTOS INDIRETOS, TRIBUTOS E LUCRO</v>
      </c>
      <c r="C121" s="373"/>
      <c r="D121" s="373"/>
      <c r="E121" s="373"/>
      <c r="F121" s="373"/>
      <c r="G121" s="373"/>
      <c r="H121" s="373"/>
      <c r="I121" s="5">
        <f>I110</f>
        <v>667.01166621062634</v>
      </c>
    </row>
    <row r="122" spans="1:12" x14ac:dyDescent="0.2">
      <c r="A122" s="389" t="s">
        <v>101</v>
      </c>
      <c r="B122" s="389"/>
      <c r="C122" s="389"/>
      <c r="D122" s="389"/>
      <c r="E122" s="389"/>
      <c r="F122" s="389"/>
      <c r="G122" s="389"/>
      <c r="H122" s="389"/>
      <c r="I122" s="13">
        <f>(SUM(I120:I121))</f>
        <v>3853.7230863272925</v>
      </c>
      <c r="K122" s="51"/>
    </row>
    <row r="123" spans="1:12" x14ac:dyDescent="0.2">
      <c r="I123" s="20"/>
      <c r="K123" s="51"/>
    </row>
    <row r="124" spans="1:12" hidden="1" x14ac:dyDescent="0.2">
      <c r="A124" s="72"/>
      <c r="B124" s="379" t="s">
        <v>102</v>
      </c>
      <c r="C124" s="379"/>
      <c r="D124" s="379"/>
      <c r="E124" s="379"/>
      <c r="F124" s="379"/>
      <c r="G124" s="379"/>
      <c r="H124" s="8"/>
      <c r="I124" s="8"/>
      <c r="K124" s="51"/>
    </row>
    <row r="125" spans="1:12" ht="40.5" hidden="1" customHeight="1" x14ac:dyDescent="0.2">
      <c r="A125" s="385" t="s">
        <v>103</v>
      </c>
      <c r="B125" s="385"/>
      <c r="C125" s="385" t="s">
        <v>104</v>
      </c>
      <c r="D125" s="385"/>
      <c r="E125" s="385" t="s">
        <v>105</v>
      </c>
      <c r="F125" s="385"/>
      <c r="G125" s="28" t="s">
        <v>106</v>
      </c>
      <c r="H125" s="73" t="s">
        <v>107</v>
      </c>
      <c r="I125" s="75"/>
      <c r="K125" s="51"/>
    </row>
    <row r="126" spans="1:12" hidden="1" x14ac:dyDescent="0.2">
      <c r="A126" s="386" t="s">
        <v>108</v>
      </c>
      <c r="B126" s="386"/>
      <c r="C126" s="387" t="s">
        <v>109</v>
      </c>
      <c r="D126" s="387"/>
      <c r="E126" s="388"/>
      <c r="F126" s="388"/>
      <c r="G126" s="29" t="s">
        <v>109</v>
      </c>
      <c r="H126" s="30"/>
      <c r="I126" s="31"/>
      <c r="K126" s="51"/>
    </row>
    <row r="127" spans="1:12" hidden="1" x14ac:dyDescent="0.2">
      <c r="A127" s="381" t="s">
        <v>110</v>
      </c>
      <c r="B127" s="381"/>
      <c r="C127" s="382" t="s">
        <v>109</v>
      </c>
      <c r="D127" s="382"/>
      <c r="E127" s="383"/>
      <c r="F127" s="383"/>
      <c r="G127" s="32" t="s">
        <v>109</v>
      </c>
      <c r="H127" s="33"/>
      <c r="I127" s="34"/>
      <c r="K127" s="51"/>
    </row>
    <row r="128" spans="1:12" hidden="1" x14ac:dyDescent="0.2">
      <c r="A128" s="381" t="s">
        <v>111</v>
      </c>
      <c r="B128" s="381"/>
      <c r="C128" s="382" t="s">
        <v>109</v>
      </c>
      <c r="D128" s="382"/>
      <c r="E128" s="383"/>
      <c r="F128" s="383"/>
      <c r="G128" s="32" t="s">
        <v>109</v>
      </c>
      <c r="H128" s="33"/>
      <c r="I128" s="34"/>
      <c r="K128" s="51"/>
    </row>
    <row r="129" spans="1:11" hidden="1" x14ac:dyDescent="0.2">
      <c r="A129" s="381" t="s">
        <v>112</v>
      </c>
      <c r="B129" s="381"/>
      <c r="C129" s="382" t="s">
        <v>109</v>
      </c>
      <c r="D129" s="382"/>
      <c r="E129" s="383"/>
      <c r="F129" s="383"/>
      <c r="G129" s="32" t="s">
        <v>109</v>
      </c>
      <c r="H129" s="33"/>
      <c r="I129" s="34"/>
      <c r="K129" s="51"/>
    </row>
    <row r="130" spans="1:11" hidden="1" x14ac:dyDescent="0.2">
      <c r="A130" s="384"/>
      <c r="B130" s="384"/>
      <c r="C130" s="383"/>
      <c r="D130" s="383"/>
      <c r="E130" s="383"/>
      <c r="F130" s="383"/>
      <c r="G130" s="35"/>
      <c r="H130" s="36"/>
      <c r="I130" s="34"/>
      <c r="K130" s="51"/>
    </row>
    <row r="131" spans="1:11" ht="13.5" hidden="1" thickBot="1" x14ac:dyDescent="0.25">
      <c r="A131" s="376"/>
      <c r="B131" s="376"/>
      <c r="C131" s="377"/>
      <c r="D131" s="377"/>
      <c r="E131" s="377"/>
      <c r="F131" s="377"/>
      <c r="G131" s="37"/>
      <c r="H131" s="38"/>
      <c r="I131" s="39"/>
      <c r="K131" s="51"/>
    </row>
    <row r="132" spans="1:11" ht="13.5" hidden="1" thickBot="1" x14ac:dyDescent="0.25">
      <c r="A132" s="378" t="s">
        <v>113</v>
      </c>
      <c r="B132" s="378"/>
      <c r="C132" s="378"/>
      <c r="D132" s="378"/>
      <c r="E132" s="378"/>
      <c r="F132" s="378"/>
      <c r="G132" s="378"/>
      <c r="H132" s="378"/>
      <c r="I132" s="40"/>
      <c r="K132" s="51"/>
    </row>
    <row r="133" spans="1:11" x14ac:dyDescent="0.2">
      <c r="I133" s="20"/>
    </row>
    <row r="134" spans="1:11" hidden="1" x14ac:dyDescent="0.2">
      <c r="A134" s="72"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74"/>
      <c r="B136" s="371" t="s">
        <v>117</v>
      </c>
      <c r="C136" s="371"/>
      <c r="D136" s="371"/>
      <c r="E136" s="371"/>
      <c r="F136" s="371"/>
      <c r="G136" s="371"/>
      <c r="H136" s="371"/>
      <c r="I136" s="75" t="s">
        <v>22</v>
      </c>
    </row>
    <row r="137" spans="1:11" hidden="1" x14ac:dyDescent="0.2">
      <c r="A137" s="41" t="s">
        <v>1</v>
      </c>
      <c r="B137" s="372" t="s">
        <v>118</v>
      </c>
      <c r="C137" s="372"/>
      <c r="D137" s="372"/>
      <c r="E137" s="372"/>
      <c r="F137" s="372"/>
      <c r="G137" s="372"/>
      <c r="H137" s="372"/>
      <c r="I137" s="42">
        <f>I107</f>
        <v>25.049200061127397</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667.01166621062634</v>
      </c>
    </row>
    <row r="140" spans="1:11" ht="13.5" hidden="1" thickBot="1" x14ac:dyDescent="0.25">
      <c r="A140" s="375" t="s">
        <v>121</v>
      </c>
      <c r="B140" s="375"/>
      <c r="C140" s="375"/>
      <c r="D140" s="375"/>
      <c r="E140" s="375"/>
      <c r="F140" s="375"/>
      <c r="G140" s="375"/>
      <c r="H140" s="375"/>
      <c r="I140" s="40" t="e">
        <f>SUM(I137:I139)</f>
        <v>#REF!</v>
      </c>
    </row>
    <row r="141" spans="1:11" hidden="1" x14ac:dyDescent="0.2">
      <c r="A141" s="72" t="s">
        <v>122</v>
      </c>
      <c r="B141" s="45" t="s">
        <v>123</v>
      </c>
    </row>
  </sheetData>
  <mergeCells count="171">
    <mergeCell ref="B136:H136"/>
    <mergeCell ref="B137:H137"/>
    <mergeCell ref="B138:H138"/>
    <mergeCell ref="B139:H139"/>
    <mergeCell ref="A140:H140"/>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B117:H117"/>
    <mergeCell ref="B118:H118"/>
    <mergeCell ref="B119:H119"/>
    <mergeCell ref="B120:H120"/>
    <mergeCell ref="B121:H121"/>
    <mergeCell ref="A122:H122"/>
    <mergeCell ref="A110:G110"/>
    <mergeCell ref="B111:I111"/>
    <mergeCell ref="A113:I113"/>
    <mergeCell ref="A114:H114"/>
    <mergeCell ref="B115:H115"/>
    <mergeCell ref="B116:H116"/>
    <mergeCell ref="B104:G104"/>
    <mergeCell ref="B105:G105"/>
    <mergeCell ref="B106:G106"/>
    <mergeCell ref="B107:G107"/>
    <mergeCell ref="B108:G108"/>
    <mergeCell ref="B109:G109"/>
    <mergeCell ref="B98:G98"/>
    <mergeCell ref="B99:G99"/>
    <mergeCell ref="A100:G100"/>
    <mergeCell ref="A101:I101"/>
    <mergeCell ref="A102:I102"/>
    <mergeCell ref="B103:G103"/>
    <mergeCell ref="A92:H92"/>
    <mergeCell ref="A93:I93"/>
    <mergeCell ref="A94:I94"/>
    <mergeCell ref="B95:G95"/>
    <mergeCell ref="B96:G96"/>
    <mergeCell ref="B97:G97"/>
    <mergeCell ref="A85:G85"/>
    <mergeCell ref="A86:I86"/>
    <mergeCell ref="A87:I87"/>
    <mergeCell ref="A88:H88"/>
    <mergeCell ref="B89:H89"/>
    <mergeCell ref="B90:H90"/>
    <mergeCell ref="B79:G79"/>
    <mergeCell ref="B80:G80"/>
    <mergeCell ref="A81:G81"/>
    <mergeCell ref="A82:I82"/>
    <mergeCell ref="A83:G83"/>
    <mergeCell ref="B84:G84"/>
    <mergeCell ref="A73:I73"/>
    <mergeCell ref="A74:G74"/>
    <mergeCell ref="B75:G75"/>
    <mergeCell ref="B76:G76"/>
    <mergeCell ref="B77:G77"/>
    <mergeCell ref="B78:G78"/>
    <mergeCell ref="B67:G67"/>
    <mergeCell ref="B68:G68"/>
    <mergeCell ref="B69:G69"/>
    <mergeCell ref="B70:G70"/>
    <mergeCell ref="A71:G71"/>
    <mergeCell ref="A72:I72"/>
    <mergeCell ref="A61:H61"/>
    <mergeCell ref="A62:I62"/>
    <mergeCell ref="A63:I63"/>
    <mergeCell ref="B64:G64"/>
    <mergeCell ref="B65:G65"/>
    <mergeCell ref="B66:G66"/>
    <mergeCell ref="A55:I55"/>
    <mergeCell ref="A56:I56"/>
    <mergeCell ref="A57:H57"/>
    <mergeCell ref="B58:H58"/>
    <mergeCell ref="B59:H59"/>
    <mergeCell ref="B60:H60"/>
    <mergeCell ref="B49:G49"/>
    <mergeCell ref="B50:G50"/>
    <mergeCell ref="B51:G51"/>
    <mergeCell ref="B52:G52"/>
    <mergeCell ref="B53:G53"/>
    <mergeCell ref="A54:H54"/>
    <mergeCell ref="B43:G43"/>
    <mergeCell ref="B44:G44"/>
    <mergeCell ref="B45:G45"/>
    <mergeCell ref="A46:G46"/>
    <mergeCell ref="A47:I47"/>
    <mergeCell ref="A48:G48"/>
    <mergeCell ref="B33:G33"/>
    <mergeCell ref="A35:G35"/>
    <mergeCell ref="A36:I36"/>
    <mergeCell ref="A37:G37"/>
    <mergeCell ref="K37:K45"/>
    <mergeCell ref="B38:G38"/>
    <mergeCell ref="B39:G39"/>
    <mergeCell ref="B40:G40"/>
    <mergeCell ref="B41:G41"/>
    <mergeCell ref="B42:G42"/>
    <mergeCell ref="B34:G34"/>
    <mergeCell ref="A28:H28"/>
    <mergeCell ref="A30:I30"/>
    <mergeCell ref="A31:G31"/>
    <mergeCell ref="B32:G32"/>
    <mergeCell ref="B20:G20"/>
    <mergeCell ref="B21:G21"/>
    <mergeCell ref="B22:G22"/>
    <mergeCell ref="B23:G23"/>
    <mergeCell ref="B24:G24"/>
    <mergeCell ref="B25:G25"/>
    <mergeCell ref="A19:I19"/>
    <mergeCell ref="L11:Q11"/>
    <mergeCell ref="R11:S11"/>
    <mergeCell ref="A12:I12"/>
    <mergeCell ref="L12:Q12"/>
    <mergeCell ref="R12:S12"/>
    <mergeCell ref="B13:H13"/>
    <mergeCell ref="B26:G26"/>
    <mergeCell ref="B27:G27"/>
    <mergeCell ref="C10:D10"/>
    <mergeCell ref="E10:I10"/>
    <mergeCell ref="L10:Q10"/>
    <mergeCell ref="R10:S10"/>
    <mergeCell ref="B14:H14"/>
    <mergeCell ref="B15:H15"/>
    <mergeCell ref="B16:H16"/>
    <mergeCell ref="B17:H17"/>
    <mergeCell ref="A18:I18"/>
    <mergeCell ref="B91:H91"/>
    <mergeCell ref="A2:I2"/>
    <mergeCell ref="B5:H5"/>
    <mergeCell ref="K5:S5"/>
    <mergeCell ref="B6:H6"/>
    <mergeCell ref="K6:S6"/>
    <mergeCell ref="K7:S7"/>
    <mergeCell ref="A8:I8"/>
    <mergeCell ref="K8:S8"/>
    <mergeCell ref="K2:S2"/>
    <mergeCell ref="B3:H3"/>
    <mergeCell ref="L3:M3"/>
    <mergeCell ref="N3:Q3"/>
    <mergeCell ref="R3:S3"/>
    <mergeCell ref="B4:H4"/>
    <mergeCell ref="L4:M4"/>
    <mergeCell ref="N4:Q4"/>
    <mergeCell ref="R4:S4"/>
    <mergeCell ref="A9:B9"/>
    <mergeCell ref="C9:D9"/>
    <mergeCell ref="E9:I9"/>
    <mergeCell ref="L9:Q9"/>
    <mergeCell ref="R9:S9"/>
    <mergeCell ref="A10:B10"/>
  </mergeCells>
  <pageMargins left="0.25" right="0.25" top="0.75" bottom="0.75" header="0.3" footer="0.3"/>
  <pageSetup paperSize="9" firstPageNumber="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EA01B-1969-402D-AE4B-182CFDB81157}">
  <sheetPr>
    <tabColor rgb="FFFFFF00"/>
  </sheetPr>
  <dimension ref="A2:S141"/>
  <sheetViews>
    <sheetView tabSelected="1" topLeftCell="A94" zoomScale="118" zoomScaleNormal="118" workbookViewId="0">
      <selection activeCell="I104" sqref="I104"/>
    </sheetView>
  </sheetViews>
  <sheetFormatPr defaultColWidth="9.140625" defaultRowHeight="12.75" x14ac:dyDescent="0.2"/>
  <cols>
    <col min="1"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69" t="s">
        <v>1</v>
      </c>
      <c r="B3" s="373" t="s">
        <v>2</v>
      </c>
      <c r="C3" s="373"/>
      <c r="D3" s="373"/>
      <c r="E3" s="373"/>
      <c r="F3" s="373"/>
      <c r="G3" s="373"/>
      <c r="H3" s="373"/>
      <c r="I3" s="1">
        <v>44182</v>
      </c>
      <c r="K3" s="68"/>
      <c r="L3" s="410"/>
      <c r="M3" s="410"/>
      <c r="N3" s="410"/>
      <c r="O3" s="410"/>
      <c r="P3" s="410"/>
      <c r="Q3" s="410"/>
      <c r="R3" s="416"/>
      <c r="S3" s="416"/>
    </row>
    <row r="4" spans="1:19" x14ac:dyDescent="0.2">
      <c r="A4" s="69" t="s">
        <v>3</v>
      </c>
      <c r="B4" s="373" t="s">
        <v>4</v>
      </c>
      <c r="C4" s="373"/>
      <c r="D4" s="373"/>
      <c r="E4" s="373"/>
      <c r="F4" s="373"/>
      <c r="G4" s="373"/>
      <c r="H4" s="373"/>
      <c r="I4" s="69" t="s">
        <v>183</v>
      </c>
      <c r="K4" s="68"/>
      <c r="L4" s="407"/>
      <c r="M4" s="407"/>
      <c r="N4" s="410"/>
      <c r="O4" s="410"/>
      <c r="P4" s="410"/>
      <c r="Q4" s="410"/>
      <c r="R4" s="410"/>
      <c r="S4" s="410"/>
    </row>
    <row r="5" spans="1:19" x14ac:dyDescent="0.2">
      <c r="A5" s="69" t="s">
        <v>5</v>
      </c>
      <c r="B5" s="373" t="s">
        <v>6</v>
      </c>
      <c r="C5" s="373"/>
      <c r="D5" s="373"/>
      <c r="E5" s="373"/>
      <c r="F5" s="373"/>
      <c r="G5" s="373"/>
      <c r="H5" s="373"/>
      <c r="I5" s="69">
        <v>2020</v>
      </c>
      <c r="K5" s="414"/>
      <c r="L5" s="414"/>
      <c r="M5" s="414"/>
      <c r="N5" s="414"/>
      <c r="O5" s="414"/>
      <c r="P5" s="414"/>
      <c r="Q5" s="414"/>
      <c r="R5" s="414"/>
      <c r="S5" s="414"/>
    </row>
    <row r="6" spans="1:19" x14ac:dyDescent="0.2">
      <c r="A6" s="69" t="s">
        <v>7</v>
      </c>
      <c r="B6" s="373" t="s">
        <v>8</v>
      </c>
      <c r="C6" s="373"/>
      <c r="D6" s="373"/>
      <c r="E6" s="373"/>
      <c r="F6" s="373"/>
      <c r="G6" s="373"/>
      <c r="H6" s="373"/>
      <c r="I6" s="69">
        <v>12</v>
      </c>
      <c r="K6" s="414"/>
      <c r="L6" s="414"/>
      <c r="M6" s="414"/>
      <c r="N6" s="414"/>
      <c r="O6" s="414"/>
      <c r="P6" s="414"/>
      <c r="Q6" s="414"/>
      <c r="R6" s="414"/>
      <c r="S6" s="414"/>
    </row>
    <row r="7" spans="1:19" x14ac:dyDescent="0.2">
      <c r="A7" s="72"/>
      <c r="B7" s="71"/>
      <c r="C7" s="71"/>
      <c r="D7" s="71"/>
      <c r="E7" s="71"/>
      <c r="F7" s="71"/>
      <c r="G7" s="71"/>
      <c r="H7" s="72"/>
      <c r="I7" s="72"/>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68"/>
      <c r="L9" s="406"/>
      <c r="M9" s="406"/>
      <c r="N9" s="406"/>
      <c r="O9" s="406"/>
      <c r="P9" s="406"/>
      <c r="Q9" s="406"/>
      <c r="R9" s="410"/>
      <c r="S9" s="410"/>
    </row>
    <row r="10" spans="1:19" ht="27" customHeight="1" x14ac:dyDescent="0.2">
      <c r="A10" s="411" t="s">
        <v>135</v>
      </c>
      <c r="B10" s="411"/>
      <c r="C10" s="370"/>
      <c r="D10" s="370"/>
      <c r="E10" s="412">
        <v>1</v>
      </c>
      <c r="F10" s="412"/>
      <c r="G10" s="412"/>
      <c r="H10" s="412"/>
      <c r="I10" s="412"/>
      <c r="K10" s="67"/>
      <c r="L10" s="408"/>
      <c r="M10" s="408"/>
      <c r="N10" s="408"/>
      <c r="O10" s="408"/>
      <c r="P10" s="408"/>
      <c r="Q10" s="408"/>
      <c r="R10" s="413"/>
      <c r="S10" s="413"/>
    </row>
    <row r="11" spans="1:19" x14ac:dyDescent="0.2">
      <c r="A11" s="72"/>
      <c r="B11" s="71"/>
      <c r="C11" s="71"/>
      <c r="D11" s="71"/>
      <c r="E11" s="71"/>
      <c r="F11" s="71"/>
      <c r="G11" s="71"/>
      <c r="H11" s="72"/>
      <c r="I11" s="72"/>
      <c r="K11" s="68"/>
      <c r="L11" s="406"/>
      <c r="M11" s="406"/>
      <c r="N11" s="406"/>
      <c r="O11" s="406"/>
      <c r="P11" s="406"/>
      <c r="Q11" s="406"/>
      <c r="R11" s="407"/>
      <c r="S11" s="407"/>
    </row>
    <row r="12" spans="1:19" x14ac:dyDescent="0.2">
      <c r="A12" s="395" t="s">
        <v>13</v>
      </c>
      <c r="B12" s="395"/>
      <c r="C12" s="395"/>
      <c r="D12" s="395"/>
      <c r="E12" s="395"/>
      <c r="F12" s="395"/>
      <c r="G12" s="395"/>
      <c r="H12" s="395"/>
      <c r="I12" s="395"/>
      <c r="K12" s="67"/>
      <c r="L12" s="408"/>
      <c r="M12" s="408"/>
      <c r="N12" s="408"/>
      <c r="O12" s="408"/>
      <c r="P12" s="408"/>
      <c r="Q12" s="408"/>
      <c r="R12" s="409"/>
      <c r="S12" s="409"/>
    </row>
    <row r="13" spans="1:19" x14ac:dyDescent="0.2">
      <c r="A13" s="69">
        <v>1</v>
      </c>
      <c r="B13" s="373" t="s">
        <v>14</v>
      </c>
      <c r="C13" s="373"/>
      <c r="D13" s="373"/>
      <c r="E13" s="373"/>
      <c r="F13" s="373"/>
      <c r="G13" s="373"/>
      <c r="H13" s="373"/>
      <c r="I13" s="50" t="s">
        <v>184</v>
      </c>
      <c r="K13" s="2"/>
      <c r="L13" s="2"/>
      <c r="M13" s="2"/>
      <c r="N13" s="2"/>
      <c r="O13" s="2"/>
      <c r="P13" s="2"/>
      <c r="Q13" s="2"/>
      <c r="R13" s="2"/>
      <c r="S13" s="2"/>
    </row>
    <row r="14" spans="1:19" x14ac:dyDescent="0.2">
      <c r="A14" s="69">
        <v>2</v>
      </c>
      <c r="B14" s="373" t="s">
        <v>15</v>
      </c>
      <c r="C14" s="373"/>
      <c r="D14" s="373"/>
      <c r="E14" s="373"/>
      <c r="F14" s="373"/>
      <c r="G14" s="373"/>
      <c r="H14" s="373"/>
      <c r="I14" s="69"/>
    </row>
    <row r="15" spans="1:19" x14ac:dyDescent="0.2">
      <c r="A15" s="69">
        <v>3</v>
      </c>
      <c r="B15" s="373" t="s">
        <v>16</v>
      </c>
      <c r="C15" s="373"/>
      <c r="D15" s="373"/>
      <c r="E15" s="373"/>
      <c r="F15" s="373"/>
      <c r="G15" s="373"/>
      <c r="H15" s="373"/>
      <c r="I15" s="3">
        <v>1075</v>
      </c>
    </row>
    <row r="16" spans="1:19" x14ac:dyDescent="0.2">
      <c r="A16" s="69">
        <v>4</v>
      </c>
      <c r="B16" s="373" t="s">
        <v>17</v>
      </c>
      <c r="C16" s="373"/>
      <c r="D16" s="373"/>
      <c r="E16" s="373"/>
      <c r="F16" s="373"/>
      <c r="G16" s="373"/>
      <c r="H16" s="373"/>
      <c r="I16" s="1" t="str">
        <f>A10</f>
        <v>ASG MUTIRAO</v>
      </c>
    </row>
    <row r="17" spans="1:12" x14ac:dyDescent="0.2">
      <c r="A17" s="69">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70">
        <v>1</v>
      </c>
      <c r="B20" s="389" t="s">
        <v>20</v>
      </c>
      <c r="C20" s="389"/>
      <c r="D20" s="389"/>
      <c r="E20" s="389"/>
      <c r="F20" s="389"/>
      <c r="G20" s="389"/>
      <c r="H20" s="70" t="s">
        <v>21</v>
      </c>
      <c r="I20" s="70" t="s">
        <v>22</v>
      </c>
    </row>
    <row r="21" spans="1:12" x14ac:dyDescent="0.2">
      <c r="A21" s="70" t="s">
        <v>1</v>
      </c>
      <c r="B21" s="373" t="s">
        <v>23</v>
      </c>
      <c r="C21" s="373"/>
      <c r="D21" s="373"/>
      <c r="E21" s="373"/>
      <c r="F21" s="373"/>
      <c r="G21" s="373"/>
      <c r="H21" s="4"/>
      <c r="I21" s="5">
        <f>I15</f>
        <v>1075</v>
      </c>
      <c r="L21" s="20">
        <f>I35+I46+I71+I81</f>
        <v>708.60565374999999</v>
      </c>
    </row>
    <row r="22" spans="1:12" x14ac:dyDescent="0.2">
      <c r="A22" s="70" t="s">
        <v>3</v>
      </c>
      <c r="B22" s="373" t="s">
        <v>24</v>
      </c>
      <c r="C22" s="373"/>
      <c r="D22" s="373"/>
      <c r="E22" s="373"/>
      <c r="F22" s="373"/>
      <c r="G22" s="373"/>
      <c r="H22" s="6"/>
      <c r="I22" s="5">
        <v>0</v>
      </c>
      <c r="L22" s="53">
        <f>L21/I28</f>
        <v>0.65916805000000001</v>
      </c>
    </row>
    <row r="23" spans="1:12" x14ac:dyDescent="0.2">
      <c r="A23" s="70" t="s">
        <v>5</v>
      </c>
      <c r="B23" s="373" t="s">
        <v>25</v>
      </c>
      <c r="C23" s="373"/>
      <c r="D23" s="373"/>
      <c r="E23" s="373"/>
      <c r="F23" s="373"/>
      <c r="G23" s="373"/>
      <c r="H23" s="6">
        <v>0</v>
      </c>
      <c r="I23" s="5">
        <f>I21*H23</f>
        <v>0</v>
      </c>
    </row>
    <row r="24" spans="1:12" x14ac:dyDescent="0.2">
      <c r="A24" s="70" t="s">
        <v>7</v>
      </c>
      <c r="B24" s="373" t="s">
        <v>26</v>
      </c>
      <c r="C24" s="373"/>
      <c r="D24" s="373"/>
      <c r="E24" s="373"/>
      <c r="F24" s="373"/>
      <c r="G24" s="373"/>
      <c r="H24" s="6"/>
      <c r="I24" s="5">
        <v>0</v>
      </c>
    </row>
    <row r="25" spans="1:12" x14ac:dyDescent="0.2">
      <c r="A25" s="70" t="s">
        <v>27</v>
      </c>
      <c r="B25" s="373" t="s">
        <v>28</v>
      </c>
      <c r="C25" s="373"/>
      <c r="D25" s="373"/>
      <c r="E25" s="373"/>
      <c r="F25" s="373"/>
      <c r="G25" s="373"/>
      <c r="H25" s="6"/>
      <c r="I25" s="5">
        <v>0</v>
      </c>
    </row>
    <row r="26" spans="1:12" x14ac:dyDescent="0.2">
      <c r="A26" s="70" t="s">
        <v>29</v>
      </c>
      <c r="B26" s="373" t="s">
        <v>30</v>
      </c>
      <c r="C26" s="373"/>
      <c r="D26" s="373"/>
      <c r="E26" s="373"/>
      <c r="F26" s="373"/>
      <c r="G26" s="373"/>
      <c r="H26" s="6"/>
      <c r="I26" s="5">
        <v>0</v>
      </c>
    </row>
    <row r="27" spans="1:12" x14ac:dyDescent="0.2">
      <c r="A27" s="70"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1075</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70" t="s">
        <v>21</v>
      </c>
      <c r="I31" s="70" t="s">
        <v>22</v>
      </c>
      <c r="J31" s="48"/>
    </row>
    <row r="32" spans="1:12" x14ac:dyDescent="0.2">
      <c r="A32" s="70" t="s">
        <v>1</v>
      </c>
      <c r="B32" s="373" t="s">
        <v>36</v>
      </c>
      <c r="C32" s="373"/>
      <c r="D32" s="373"/>
      <c r="E32" s="373"/>
      <c r="F32" s="373"/>
      <c r="G32" s="373"/>
      <c r="H32" s="10">
        <v>8.3299999999999999E-2</v>
      </c>
      <c r="I32" s="5">
        <f>$I$28*H32</f>
        <v>89.547499999999999</v>
      </c>
      <c r="J32" s="48"/>
    </row>
    <row r="33" spans="1:11" x14ac:dyDescent="0.2">
      <c r="A33" s="70" t="s">
        <v>3</v>
      </c>
      <c r="B33" s="373" t="s">
        <v>185</v>
      </c>
      <c r="C33" s="373"/>
      <c r="D33" s="373"/>
      <c r="E33" s="373"/>
      <c r="F33" s="373"/>
      <c r="G33" s="373"/>
      <c r="H33" s="11">
        <v>2.7799999999999998E-2</v>
      </c>
      <c r="I33" s="5">
        <f>H33*I28</f>
        <v>29.884999999999998</v>
      </c>
      <c r="J33" s="48"/>
    </row>
    <row r="34" spans="1:11" x14ac:dyDescent="0.2">
      <c r="A34" s="79" t="s">
        <v>132</v>
      </c>
      <c r="B34" s="373" t="s">
        <v>133</v>
      </c>
      <c r="C34" s="373"/>
      <c r="D34" s="373"/>
      <c r="E34" s="373"/>
      <c r="F34" s="373"/>
      <c r="G34" s="373"/>
      <c r="H34" s="11">
        <f>(H32+H33)*H46</f>
        <v>3.9784910000000007E-2</v>
      </c>
      <c r="I34" s="5">
        <f>I28*H34</f>
        <v>42.768778250000004</v>
      </c>
      <c r="J34" s="48"/>
    </row>
    <row r="35" spans="1:11" x14ac:dyDescent="0.2">
      <c r="A35" s="389" t="s">
        <v>37</v>
      </c>
      <c r="B35" s="389"/>
      <c r="C35" s="389"/>
      <c r="D35" s="389"/>
      <c r="E35" s="389"/>
      <c r="F35" s="389"/>
      <c r="G35" s="389"/>
      <c r="H35" s="12">
        <f>TRUNC(SUM(H32:H33),4)</f>
        <v>0.1111</v>
      </c>
      <c r="I35" s="13">
        <f>SUM(I32:I34)</f>
        <v>162.20127825</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70" t="s">
        <v>21</v>
      </c>
      <c r="I37" s="70" t="s">
        <v>22</v>
      </c>
      <c r="J37" s="48"/>
      <c r="K37" s="404"/>
    </row>
    <row r="38" spans="1:11" x14ac:dyDescent="0.2">
      <c r="A38" s="70" t="s">
        <v>1</v>
      </c>
      <c r="B38" s="373" t="s">
        <v>39</v>
      </c>
      <c r="C38" s="373"/>
      <c r="D38" s="373"/>
      <c r="E38" s="373"/>
      <c r="F38" s="373"/>
      <c r="G38" s="373"/>
      <c r="H38" s="10">
        <v>0.2</v>
      </c>
      <c r="I38" s="5">
        <f>($I$28)*H38</f>
        <v>215</v>
      </c>
      <c r="J38" s="48"/>
      <c r="K38" s="404"/>
    </row>
    <row r="39" spans="1:11" x14ac:dyDescent="0.2">
      <c r="A39" s="70" t="s">
        <v>3</v>
      </c>
      <c r="B39" s="373" t="s">
        <v>40</v>
      </c>
      <c r="C39" s="373"/>
      <c r="D39" s="373"/>
      <c r="E39" s="373"/>
      <c r="F39" s="373"/>
      <c r="G39" s="373"/>
      <c r="H39" s="10">
        <v>2.5000000000000001E-2</v>
      </c>
      <c r="I39" s="5">
        <f t="shared" ref="I39:I45" si="0">($I$28)*H39</f>
        <v>26.875</v>
      </c>
      <c r="J39" s="48"/>
      <c r="K39" s="404"/>
    </row>
    <row r="40" spans="1:11" x14ac:dyDescent="0.2">
      <c r="A40" s="70" t="s">
        <v>5</v>
      </c>
      <c r="B40" s="373" t="s">
        <v>41</v>
      </c>
      <c r="C40" s="373"/>
      <c r="D40" s="373"/>
      <c r="E40" s="373"/>
      <c r="F40" s="373"/>
      <c r="G40" s="373"/>
      <c r="H40" s="10">
        <v>2.01E-2</v>
      </c>
      <c r="I40" s="5">
        <f t="shared" si="0"/>
        <v>21.607499999999998</v>
      </c>
      <c r="J40" s="48"/>
      <c r="K40" s="404"/>
    </row>
    <row r="41" spans="1:11" x14ac:dyDescent="0.2">
      <c r="A41" s="70" t="s">
        <v>7</v>
      </c>
      <c r="B41" s="373" t="s">
        <v>42</v>
      </c>
      <c r="C41" s="373"/>
      <c r="D41" s="373"/>
      <c r="E41" s="373"/>
      <c r="F41" s="373"/>
      <c r="G41" s="373"/>
      <c r="H41" s="10">
        <v>1.4999999999999999E-2</v>
      </c>
      <c r="I41" s="5">
        <f t="shared" si="0"/>
        <v>16.125</v>
      </c>
      <c r="J41" s="48"/>
      <c r="K41" s="404"/>
    </row>
    <row r="42" spans="1:11" x14ac:dyDescent="0.2">
      <c r="A42" s="70" t="s">
        <v>27</v>
      </c>
      <c r="B42" s="373" t="s">
        <v>43</v>
      </c>
      <c r="C42" s="373"/>
      <c r="D42" s="373"/>
      <c r="E42" s="373"/>
      <c r="F42" s="373"/>
      <c r="G42" s="373"/>
      <c r="H42" s="10">
        <v>0.01</v>
      </c>
      <c r="I42" s="5">
        <f t="shared" si="0"/>
        <v>10.75</v>
      </c>
      <c r="J42" s="48"/>
      <c r="K42" s="404"/>
    </row>
    <row r="43" spans="1:11" x14ac:dyDescent="0.2">
      <c r="A43" s="70" t="s">
        <v>29</v>
      </c>
      <c r="B43" s="373" t="s">
        <v>44</v>
      </c>
      <c r="C43" s="373"/>
      <c r="D43" s="373"/>
      <c r="E43" s="373"/>
      <c r="F43" s="373"/>
      <c r="G43" s="373"/>
      <c r="H43" s="10">
        <v>6.0000000000000001E-3</v>
      </c>
      <c r="I43" s="5">
        <f t="shared" si="0"/>
        <v>6.45</v>
      </c>
      <c r="J43" s="48"/>
      <c r="K43" s="404"/>
    </row>
    <row r="44" spans="1:11" x14ac:dyDescent="0.2">
      <c r="A44" s="70" t="s">
        <v>31</v>
      </c>
      <c r="B44" s="373" t="s">
        <v>45</v>
      </c>
      <c r="C44" s="373"/>
      <c r="D44" s="373"/>
      <c r="E44" s="373"/>
      <c r="F44" s="373"/>
      <c r="G44" s="373"/>
      <c r="H44" s="10">
        <v>2E-3</v>
      </c>
      <c r="I44" s="5">
        <f t="shared" si="0"/>
        <v>2.15</v>
      </c>
      <c r="J44" s="48"/>
      <c r="K44" s="404"/>
    </row>
    <row r="45" spans="1:11" x14ac:dyDescent="0.2">
      <c r="A45" s="70" t="s">
        <v>46</v>
      </c>
      <c r="B45" s="373" t="s">
        <v>47</v>
      </c>
      <c r="C45" s="373"/>
      <c r="D45" s="373"/>
      <c r="E45" s="373"/>
      <c r="F45" s="373"/>
      <c r="G45" s="373"/>
      <c r="H45" s="10">
        <v>0.08</v>
      </c>
      <c r="I45" s="5">
        <f t="shared" si="0"/>
        <v>86</v>
      </c>
      <c r="J45" s="48"/>
      <c r="K45" s="404"/>
    </row>
    <row r="46" spans="1:11" x14ac:dyDescent="0.2">
      <c r="A46" s="389" t="s">
        <v>48</v>
      </c>
      <c r="B46" s="389"/>
      <c r="C46" s="389"/>
      <c r="D46" s="389"/>
      <c r="E46" s="389"/>
      <c r="F46" s="389"/>
      <c r="G46" s="389"/>
      <c r="H46" s="12">
        <f>SUM(H38:H45)</f>
        <v>0.35810000000000003</v>
      </c>
      <c r="I46" s="13">
        <f>(SUM(I38:I45))</f>
        <v>384.95749999999998</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70" t="s">
        <v>22</v>
      </c>
      <c r="J48" s="48"/>
    </row>
    <row r="49" spans="1:10" x14ac:dyDescent="0.2">
      <c r="A49" s="70" t="s">
        <v>1</v>
      </c>
      <c r="B49" s="393" t="s">
        <v>125</v>
      </c>
      <c r="C49" s="393"/>
      <c r="D49" s="393"/>
      <c r="E49" s="393"/>
      <c r="F49" s="393"/>
      <c r="G49" s="393"/>
      <c r="H49" s="55">
        <v>3.65</v>
      </c>
      <c r="I49" s="14">
        <f>(H49*2*22)-(I21*0.06)</f>
        <v>96.1</v>
      </c>
      <c r="J49" s="48"/>
    </row>
    <row r="50" spans="1:10" x14ac:dyDescent="0.2">
      <c r="A50" s="70" t="s">
        <v>3</v>
      </c>
      <c r="B50" s="393" t="s">
        <v>124</v>
      </c>
      <c r="C50" s="393"/>
      <c r="D50" s="393"/>
      <c r="E50" s="393"/>
      <c r="F50" s="393"/>
      <c r="G50" s="393"/>
      <c r="H50" s="55">
        <v>418</v>
      </c>
      <c r="I50" s="15">
        <f>H50*0.8</f>
        <v>334.40000000000003</v>
      </c>
      <c r="J50" s="49"/>
    </row>
    <row r="51" spans="1:10" x14ac:dyDescent="0.2">
      <c r="A51" s="70" t="s">
        <v>5</v>
      </c>
      <c r="B51" s="393" t="s">
        <v>126</v>
      </c>
      <c r="C51" s="393"/>
      <c r="D51" s="393"/>
      <c r="E51" s="393"/>
      <c r="F51" s="393"/>
      <c r="G51" s="393"/>
      <c r="H51" s="55">
        <v>0</v>
      </c>
      <c r="I51" s="14">
        <f>H51</f>
        <v>0</v>
      </c>
      <c r="J51" s="48"/>
    </row>
    <row r="52" spans="1:10" x14ac:dyDescent="0.2">
      <c r="A52" s="70" t="s">
        <v>7</v>
      </c>
      <c r="B52" s="397" t="s">
        <v>127</v>
      </c>
      <c r="C52" s="398"/>
      <c r="D52" s="398"/>
      <c r="E52" s="398"/>
      <c r="F52" s="398"/>
      <c r="G52" s="399"/>
      <c r="H52" s="55">
        <v>0</v>
      </c>
      <c r="I52" s="14">
        <f>H52</f>
        <v>0</v>
      </c>
      <c r="J52" s="48"/>
    </row>
    <row r="53" spans="1:10" x14ac:dyDescent="0.2">
      <c r="A53" s="70"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438.5</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70" t="s">
        <v>22</v>
      </c>
      <c r="J57" s="48"/>
    </row>
    <row r="58" spans="1:10" x14ac:dyDescent="0.2">
      <c r="A58" s="70" t="s">
        <v>54</v>
      </c>
      <c r="B58" s="370" t="s">
        <v>55</v>
      </c>
      <c r="C58" s="370"/>
      <c r="D58" s="370"/>
      <c r="E58" s="370"/>
      <c r="F58" s="370"/>
      <c r="G58" s="370"/>
      <c r="H58" s="370"/>
      <c r="I58" s="16">
        <f>I35</f>
        <v>162.20127825</v>
      </c>
      <c r="J58" s="48"/>
    </row>
    <row r="59" spans="1:10" x14ac:dyDescent="0.2">
      <c r="A59" s="70" t="s">
        <v>56</v>
      </c>
      <c r="B59" s="370" t="s">
        <v>57</v>
      </c>
      <c r="C59" s="370"/>
      <c r="D59" s="370"/>
      <c r="E59" s="370"/>
      <c r="F59" s="370"/>
      <c r="G59" s="370"/>
      <c r="H59" s="370"/>
      <c r="I59" s="16">
        <f>I46</f>
        <v>384.95749999999998</v>
      </c>
      <c r="J59" s="48"/>
    </row>
    <row r="60" spans="1:10" x14ac:dyDescent="0.2">
      <c r="A60" s="70" t="s">
        <v>58</v>
      </c>
      <c r="B60" s="370" t="s">
        <v>59</v>
      </c>
      <c r="C60" s="370"/>
      <c r="D60" s="370"/>
      <c r="E60" s="370"/>
      <c r="F60" s="370"/>
      <c r="G60" s="370"/>
      <c r="H60" s="370"/>
      <c r="I60" s="16">
        <f>I54</f>
        <v>438.5</v>
      </c>
      <c r="J60" s="48"/>
    </row>
    <row r="61" spans="1:10" x14ac:dyDescent="0.2">
      <c r="A61" s="389" t="s">
        <v>60</v>
      </c>
      <c r="B61" s="389"/>
      <c r="C61" s="389"/>
      <c r="D61" s="389"/>
      <c r="E61" s="389"/>
      <c r="F61" s="389"/>
      <c r="G61" s="389"/>
      <c r="H61" s="389"/>
      <c r="I61" s="13">
        <f>(SUM(I58:I60))</f>
        <v>985.65877824999995</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70">
        <v>3</v>
      </c>
      <c r="B64" s="389" t="s">
        <v>62</v>
      </c>
      <c r="C64" s="389"/>
      <c r="D64" s="389"/>
      <c r="E64" s="389"/>
      <c r="F64" s="389"/>
      <c r="G64" s="389"/>
      <c r="H64" s="70" t="s">
        <v>21</v>
      </c>
      <c r="I64" s="70" t="s">
        <v>22</v>
      </c>
      <c r="J64" s="48"/>
    </row>
    <row r="65" spans="1:11" x14ac:dyDescent="0.2">
      <c r="A65" s="70" t="s">
        <v>1</v>
      </c>
      <c r="B65" s="373" t="s">
        <v>63</v>
      </c>
      <c r="C65" s="373"/>
      <c r="D65" s="373"/>
      <c r="E65" s="373"/>
      <c r="F65" s="373"/>
      <c r="G65" s="373"/>
      <c r="H65" s="17">
        <v>4.1999999999999997E-3</v>
      </c>
      <c r="I65" s="16">
        <f>$I$28*H65</f>
        <v>4.5149999999999997</v>
      </c>
      <c r="J65" s="48"/>
    </row>
    <row r="66" spans="1:11" x14ac:dyDescent="0.2">
      <c r="A66" s="70" t="s">
        <v>3</v>
      </c>
      <c r="B66" s="373" t="s">
        <v>64</v>
      </c>
      <c r="C66" s="373"/>
      <c r="D66" s="373"/>
      <c r="E66" s="373"/>
      <c r="F66" s="373"/>
      <c r="G66" s="373"/>
      <c r="H66" s="17">
        <f>H45*H65</f>
        <v>3.3599999999999998E-4</v>
      </c>
      <c r="I66" s="5">
        <f>H66*I28</f>
        <v>0.36119999999999997</v>
      </c>
      <c r="J66" s="48"/>
    </row>
    <row r="67" spans="1:11" x14ac:dyDescent="0.2">
      <c r="A67" s="70" t="s">
        <v>5</v>
      </c>
      <c r="B67" s="373" t="s">
        <v>65</v>
      </c>
      <c r="C67" s="373"/>
      <c r="D67" s="373"/>
      <c r="E67" s="373"/>
      <c r="F67" s="373"/>
      <c r="G67" s="373"/>
      <c r="H67" s="18">
        <v>0.01</v>
      </c>
      <c r="I67" s="5">
        <f>$I$28*H67</f>
        <v>10.75</v>
      </c>
      <c r="J67" s="48"/>
    </row>
    <row r="68" spans="1:11" x14ac:dyDescent="0.2">
      <c r="A68" s="70" t="s">
        <v>7</v>
      </c>
      <c r="B68" s="373" t="s">
        <v>66</v>
      </c>
      <c r="C68" s="373"/>
      <c r="D68" s="373"/>
      <c r="E68" s="373"/>
      <c r="F68" s="373"/>
      <c r="G68" s="373"/>
      <c r="H68" s="46">
        <v>1.9400000000000001E-2</v>
      </c>
      <c r="I68" s="5">
        <f>$I$28*H68</f>
        <v>20.855</v>
      </c>
      <c r="J68" s="48"/>
    </row>
    <row r="69" spans="1:11" x14ac:dyDescent="0.2">
      <c r="A69" s="70" t="s">
        <v>27</v>
      </c>
      <c r="B69" s="373" t="s">
        <v>67</v>
      </c>
      <c r="C69" s="373"/>
      <c r="D69" s="373"/>
      <c r="E69" s="373"/>
      <c r="F69" s="373"/>
      <c r="G69" s="373"/>
      <c r="H69" s="19">
        <f>H46*H68</f>
        <v>6.947140000000001E-3</v>
      </c>
      <c r="I69" s="5">
        <f>$I$28*H69</f>
        <v>7.468175500000001</v>
      </c>
      <c r="J69" s="48"/>
    </row>
    <row r="70" spans="1:11" x14ac:dyDescent="0.2">
      <c r="A70" s="70" t="s">
        <v>29</v>
      </c>
      <c r="B70" s="373" t="s">
        <v>68</v>
      </c>
      <c r="C70" s="373"/>
      <c r="D70" s="373"/>
      <c r="E70" s="373"/>
      <c r="F70" s="373"/>
      <c r="G70" s="373"/>
      <c r="H70" s="54">
        <v>2.1999999999999999E-2</v>
      </c>
      <c r="I70" s="5">
        <f>$I$28*H70</f>
        <v>23.65</v>
      </c>
      <c r="J70" s="48"/>
      <c r="K70" s="20"/>
    </row>
    <row r="71" spans="1:11" x14ac:dyDescent="0.2">
      <c r="A71" s="389" t="s">
        <v>69</v>
      </c>
      <c r="B71" s="389"/>
      <c r="C71" s="389"/>
      <c r="D71" s="389"/>
      <c r="E71" s="389"/>
      <c r="F71" s="389"/>
      <c r="G71" s="389"/>
      <c r="H71" s="12">
        <f>TRUNC(SUM(H65:H70),4)</f>
        <v>6.2799999999999995E-2</v>
      </c>
      <c r="I71" s="13">
        <f>(SUM(I65:I70))</f>
        <v>67.599375500000008</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70" t="s">
        <v>21</v>
      </c>
      <c r="I74" s="70" t="s">
        <v>22</v>
      </c>
      <c r="J74" s="48"/>
    </row>
    <row r="75" spans="1:11" x14ac:dyDescent="0.2">
      <c r="A75" s="70" t="s">
        <v>1</v>
      </c>
      <c r="B75" s="373" t="s">
        <v>186</v>
      </c>
      <c r="C75" s="373"/>
      <c r="D75" s="373"/>
      <c r="E75" s="373"/>
      <c r="F75" s="373"/>
      <c r="G75" s="373"/>
      <c r="H75" s="148">
        <v>8.3299999999999999E-2</v>
      </c>
      <c r="I75" s="5">
        <f t="shared" ref="I75:I80" si="1">$I$28*H75</f>
        <v>89.547499999999999</v>
      </c>
      <c r="J75" s="48"/>
    </row>
    <row r="76" spans="1:11" x14ac:dyDescent="0.2">
      <c r="A76" s="70" t="s">
        <v>3</v>
      </c>
      <c r="B76" s="373" t="s">
        <v>187</v>
      </c>
      <c r="C76" s="373"/>
      <c r="D76" s="373"/>
      <c r="E76" s="373"/>
      <c r="F76" s="373"/>
      <c r="G76" s="373"/>
      <c r="H76" s="148">
        <v>2.8E-3</v>
      </c>
      <c r="I76" s="16">
        <f t="shared" si="1"/>
        <v>3.01</v>
      </c>
      <c r="J76" s="48"/>
    </row>
    <row r="77" spans="1:11" x14ac:dyDescent="0.2">
      <c r="A77" s="70" t="s">
        <v>5</v>
      </c>
      <c r="B77" s="373" t="s">
        <v>188</v>
      </c>
      <c r="C77" s="373"/>
      <c r="D77" s="373"/>
      <c r="E77" s="373"/>
      <c r="F77" s="373"/>
      <c r="G77" s="373"/>
      <c r="H77" s="17">
        <v>2.0000000000000001E-4</v>
      </c>
      <c r="I77" s="16">
        <f t="shared" si="1"/>
        <v>0.215</v>
      </c>
      <c r="J77" s="48"/>
    </row>
    <row r="78" spans="1:11" x14ac:dyDescent="0.2">
      <c r="A78" s="70" t="s">
        <v>7</v>
      </c>
      <c r="B78" s="373" t="s">
        <v>189</v>
      </c>
      <c r="C78" s="373"/>
      <c r="D78" s="373"/>
      <c r="E78" s="373"/>
      <c r="F78" s="373"/>
      <c r="G78" s="373"/>
      <c r="H78" s="148">
        <v>2.9999999999999997E-4</v>
      </c>
      <c r="I78" s="16">
        <f t="shared" si="1"/>
        <v>0.32249999999999995</v>
      </c>
      <c r="J78" s="48"/>
    </row>
    <row r="79" spans="1:11" x14ac:dyDescent="0.2">
      <c r="A79" s="70" t="s">
        <v>27</v>
      </c>
      <c r="B79" s="373" t="s">
        <v>190</v>
      </c>
      <c r="C79" s="373"/>
      <c r="D79" s="373"/>
      <c r="E79" s="373"/>
      <c r="F79" s="373"/>
      <c r="G79" s="373"/>
      <c r="H79" s="17">
        <v>6.9999999999999999E-4</v>
      </c>
      <c r="I79" s="16">
        <f t="shared" si="1"/>
        <v>0.75249999999999995</v>
      </c>
      <c r="J79" s="48"/>
    </row>
    <row r="80" spans="1:11" x14ac:dyDescent="0.2">
      <c r="A80" s="70"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93.847500000000011</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70" t="s">
        <v>21</v>
      </c>
      <c r="I83" s="70" t="s">
        <v>22</v>
      </c>
      <c r="J83" s="48"/>
    </row>
    <row r="84" spans="1:10" x14ac:dyDescent="0.2">
      <c r="A84" s="70"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70" t="s">
        <v>22</v>
      </c>
      <c r="J88" s="48"/>
    </row>
    <row r="89" spans="1:10" x14ac:dyDescent="0.2">
      <c r="A89" s="70" t="s">
        <v>77</v>
      </c>
      <c r="B89" s="370" t="s">
        <v>193</v>
      </c>
      <c r="C89" s="370"/>
      <c r="D89" s="370"/>
      <c r="E89" s="370"/>
      <c r="F89" s="370"/>
      <c r="G89" s="370"/>
      <c r="H89" s="370"/>
      <c r="I89" s="16">
        <f>I81</f>
        <v>93.847500000000011</v>
      </c>
      <c r="J89" s="48"/>
    </row>
    <row r="90" spans="1:10" x14ac:dyDescent="0.2">
      <c r="A90" s="70" t="s">
        <v>78</v>
      </c>
      <c r="B90" s="370" t="s">
        <v>194</v>
      </c>
      <c r="C90" s="370"/>
      <c r="D90" s="370"/>
      <c r="E90" s="370"/>
      <c r="F90" s="370"/>
      <c r="G90" s="370"/>
      <c r="H90" s="370"/>
      <c r="I90" s="16">
        <f>I85</f>
        <v>0</v>
      </c>
      <c r="J90" s="48"/>
    </row>
    <row r="91" spans="1:10" x14ac:dyDescent="0.2">
      <c r="A91" s="125" t="s">
        <v>46</v>
      </c>
      <c r="B91" s="370" t="s">
        <v>195</v>
      </c>
      <c r="C91" s="370"/>
      <c r="D91" s="370"/>
      <c r="E91" s="370"/>
      <c r="F91" s="370"/>
      <c r="G91" s="370"/>
      <c r="H91" s="370"/>
      <c r="I91" s="16">
        <f>(H81*H46)*I89</f>
        <v>2.9338727451750009</v>
      </c>
      <c r="J91" s="48"/>
    </row>
    <row r="92" spans="1:10" x14ac:dyDescent="0.2">
      <c r="A92" s="389" t="s">
        <v>79</v>
      </c>
      <c r="B92" s="389"/>
      <c r="C92" s="389"/>
      <c r="D92" s="389"/>
      <c r="E92" s="389"/>
      <c r="F92" s="389"/>
      <c r="G92" s="389"/>
      <c r="H92" s="389"/>
      <c r="I92" s="13">
        <f>(SUM(I89:I90))</f>
        <v>93.847500000000011</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70">
        <v>5</v>
      </c>
      <c r="B95" s="389" t="s">
        <v>81</v>
      </c>
      <c r="C95" s="389"/>
      <c r="D95" s="389"/>
      <c r="E95" s="389"/>
      <c r="F95" s="389"/>
      <c r="G95" s="389"/>
      <c r="H95" s="70"/>
      <c r="I95" s="70" t="s">
        <v>22</v>
      </c>
      <c r="J95" s="48"/>
    </row>
    <row r="96" spans="1:10" x14ac:dyDescent="0.2">
      <c r="A96" s="70" t="s">
        <v>1</v>
      </c>
      <c r="B96" s="393" t="s">
        <v>82</v>
      </c>
      <c r="C96" s="393"/>
      <c r="D96" s="393"/>
      <c r="E96" s="393"/>
      <c r="F96" s="393"/>
      <c r="G96" s="393"/>
      <c r="H96" s="69" t="s">
        <v>50</v>
      </c>
      <c r="I96" s="66">
        <f>UNIFORME!F10</f>
        <v>28.666666666666668</v>
      </c>
      <c r="J96" s="48"/>
    </row>
    <row r="97" spans="1:13" x14ac:dyDescent="0.2">
      <c r="A97" s="70" t="s">
        <v>3</v>
      </c>
      <c r="B97" s="393" t="s">
        <v>83</v>
      </c>
      <c r="C97" s="393"/>
      <c r="D97" s="393"/>
      <c r="E97" s="393"/>
      <c r="F97" s="393"/>
      <c r="G97" s="393"/>
      <c r="H97" s="69" t="s">
        <v>50</v>
      </c>
      <c r="I97" s="16">
        <f>'MAT MUT 01'!G19</f>
        <v>40.85</v>
      </c>
      <c r="J97" s="48"/>
    </row>
    <row r="98" spans="1:13" x14ac:dyDescent="0.2">
      <c r="A98" s="21" t="s">
        <v>5</v>
      </c>
      <c r="B98" s="393" t="s">
        <v>84</v>
      </c>
      <c r="C98" s="393"/>
      <c r="D98" s="393"/>
      <c r="E98" s="393"/>
      <c r="F98" s="393"/>
      <c r="G98" s="393"/>
      <c r="H98" s="69" t="s">
        <v>50</v>
      </c>
      <c r="I98" s="16">
        <f>'MAT MUT 01'!G27</f>
        <v>41.666666666666664</v>
      </c>
      <c r="J98" s="48"/>
    </row>
    <row r="99" spans="1:13" x14ac:dyDescent="0.2">
      <c r="A99" s="21" t="s">
        <v>7</v>
      </c>
      <c r="B99" s="393" t="s">
        <v>166</v>
      </c>
      <c r="C99" s="393"/>
      <c r="D99" s="393"/>
      <c r="E99" s="393"/>
      <c r="F99" s="393"/>
      <c r="G99" s="393"/>
      <c r="H99" s="69" t="s">
        <v>50</v>
      </c>
      <c r="I99" s="16">
        <v>50</v>
      </c>
      <c r="J99" s="48"/>
    </row>
    <row r="100" spans="1:13" x14ac:dyDescent="0.2">
      <c r="A100" s="389" t="s">
        <v>85</v>
      </c>
      <c r="B100" s="389"/>
      <c r="C100" s="389"/>
      <c r="D100" s="389"/>
      <c r="E100" s="389"/>
      <c r="F100" s="389"/>
      <c r="G100" s="389"/>
      <c r="H100" s="12" t="s">
        <v>50</v>
      </c>
      <c r="I100" s="13">
        <f>(SUM(I96:I99))</f>
        <v>161.18333333333334</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70">
        <v>6</v>
      </c>
      <c r="B103" s="389" t="s">
        <v>87</v>
      </c>
      <c r="C103" s="389"/>
      <c r="D103" s="389"/>
      <c r="E103" s="389"/>
      <c r="F103" s="389"/>
      <c r="G103" s="389"/>
      <c r="H103" s="70" t="s">
        <v>21</v>
      </c>
      <c r="I103" s="70" t="s">
        <v>22</v>
      </c>
      <c r="J103" s="48"/>
      <c r="K103" s="52">
        <f>'ANEXO VII'!M57</f>
        <v>197.15170301310718</v>
      </c>
    </row>
    <row r="104" spans="1:13" x14ac:dyDescent="0.2">
      <c r="A104" s="70" t="s">
        <v>1</v>
      </c>
      <c r="B104" s="373" t="s">
        <v>88</v>
      </c>
      <c r="C104" s="373"/>
      <c r="D104" s="373"/>
      <c r="E104" s="373"/>
      <c r="F104" s="373"/>
      <c r="G104" s="373"/>
      <c r="H104" s="22">
        <v>5.21E-2</v>
      </c>
      <c r="I104" s="16">
        <f>I120*H104</f>
        <v>124.16935622704166</v>
      </c>
      <c r="J104" s="48"/>
      <c r="M104" s="52"/>
    </row>
    <row r="105" spans="1:13" x14ac:dyDescent="0.2">
      <c r="A105" s="70" t="s">
        <v>3</v>
      </c>
      <c r="B105" s="373" t="s">
        <v>89</v>
      </c>
      <c r="C105" s="373"/>
      <c r="D105" s="373"/>
      <c r="E105" s="373"/>
      <c r="F105" s="373"/>
      <c r="G105" s="373"/>
      <c r="H105" s="22">
        <v>0.05</v>
      </c>
      <c r="I105" s="16">
        <f>(I120+I104)*H105</f>
        <v>125.37291716551874</v>
      </c>
      <c r="J105" s="48"/>
    </row>
    <row r="106" spans="1:13" x14ac:dyDescent="0.2">
      <c r="A106" s="70" t="s">
        <v>5</v>
      </c>
      <c r="B106" s="392" t="s">
        <v>90</v>
      </c>
      <c r="C106" s="392"/>
      <c r="D106" s="392"/>
      <c r="E106" s="392"/>
      <c r="F106" s="392"/>
      <c r="G106" s="392"/>
      <c r="H106" s="23">
        <f>H107+H108+H109</f>
        <v>8.6499999999999994E-2</v>
      </c>
      <c r="I106" s="24"/>
      <c r="J106" s="48"/>
    </row>
    <row r="107" spans="1:13" x14ac:dyDescent="0.2">
      <c r="A107" s="70" t="s">
        <v>91</v>
      </c>
      <c r="B107" s="373" t="s">
        <v>92</v>
      </c>
      <c r="C107" s="373"/>
      <c r="D107" s="373"/>
      <c r="E107" s="373"/>
      <c r="F107" s="373"/>
      <c r="G107" s="373"/>
      <c r="H107" s="25">
        <v>6.4999999999999997E-3</v>
      </c>
      <c r="I107" s="16">
        <f>K110*H107</f>
        <v>18.733884174157971</v>
      </c>
      <c r="J107" s="48"/>
      <c r="K107" s="65">
        <f>1-H106</f>
        <v>0.91349999999999998</v>
      </c>
    </row>
    <row r="108" spans="1:13" x14ac:dyDescent="0.2">
      <c r="A108" s="70" t="s">
        <v>93</v>
      </c>
      <c r="B108" s="373" t="s">
        <v>94</v>
      </c>
      <c r="C108" s="373"/>
      <c r="D108" s="373"/>
      <c r="E108" s="373"/>
      <c r="F108" s="373"/>
      <c r="G108" s="373"/>
      <c r="H108" s="25">
        <v>0.03</v>
      </c>
      <c r="I108" s="16">
        <f>K110*H108</f>
        <v>86.464080803806027</v>
      </c>
      <c r="J108" s="48"/>
      <c r="K108" s="45">
        <f>K107/1</f>
        <v>0.91349999999999998</v>
      </c>
    </row>
    <row r="109" spans="1:13" x14ac:dyDescent="0.2">
      <c r="A109" s="70" t="s">
        <v>95</v>
      </c>
      <c r="B109" s="373" t="s">
        <v>96</v>
      </c>
      <c r="C109" s="373"/>
      <c r="D109" s="373"/>
      <c r="E109" s="373"/>
      <c r="F109" s="373"/>
      <c r="G109" s="373"/>
      <c r="H109" s="26">
        <v>0.05</v>
      </c>
      <c r="I109" s="16">
        <f>K110*H109</f>
        <v>144.10680133967671</v>
      </c>
      <c r="J109" s="48"/>
      <c r="K109" s="20">
        <f>I120+I104+I105</f>
        <v>2632.8312604758935</v>
      </c>
    </row>
    <row r="110" spans="1:13" x14ac:dyDescent="0.2">
      <c r="A110" s="389" t="s">
        <v>97</v>
      </c>
      <c r="B110" s="389"/>
      <c r="C110" s="389"/>
      <c r="D110" s="389"/>
      <c r="E110" s="389"/>
      <c r="F110" s="389"/>
      <c r="G110" s="389"/>
      <c r="H110" s="25">
        <f>SUM(H104+H105+H106)</f>
        <v>0.18859999999999999</v>
      </c>
      <c r="I110" s="13">
        <f>(SUM(I104:I109))</f>
        <v>498.8470397102011</v>
      </c>
      <c r="J110" s="48"/>
      <c r="K110" s="20">
        <f>K109/K108</f>
        <v>2882.1360267935343</v>
      </c>
    </row>
    <row r="111" spans="1:13" x14ac:dyDescent="0.2">
      <c r="A111" s="72"/>
      <c r="B111" s="390"/>
      <c r="C111" s="390"/>
      <c r="D111" s="390"/>
      <c r="E111" s="390"/>
      <c r="F111" s="390"/>
      <c r="G111" s="390"/>
      <c r="H111" s="390"/>
      <c r="I111" s="390"/>
    </row>
    <row r="112" spans="1:13" x14ac:dyDescent="0.2">
      <c r="A112" s="72"/>
      <c r="B112" s="72"/>
      <c r="C112" s="72"/>
      <c r="D112" s="72"/>
      <c r="E112" s="72"/>
      <c r="F112" s="72"/>
      <c r="G112" s="72"/>
      <c r="H112" s="72"/>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70" t="s">
        <v>22</v>
      </c>
    </row>
    <row r="115" spans="1:12" x14ac:dyDescent="0.2">
      <c r="A115" s="69" t="s">
        <v>1</v>
      </c>
      <c r="B115" s="373" t="str">
        <f>A19</f>
        <v>MÓDULO 1 - COMPOSIÇÃO DA REMUNERAÇÃO</v>
      </c>
      <c r="C115" s="373"/>
      <c r="D115" s="373"/>
      <c r="E115" s="373"/>
      <c r="F115" s="373"/>
      <c r="G115" s="373"/>
      <c r="H115" s="373"/>
      <c r="I115" s="16">
        <f>I28</f>
        <v>1075</v>
      </c>
      <c r="K115" s="20"/>
      <c r="L115" s="53"/>
    </row>
    <row r="116" spans="1:12" x14ac:dyDescent="0.2">
      <c r="A116" s="69" t="s">
        <v>3</v>
      </c>
      <c r="B116" s="373" t="str">
        <f>A30</f>
        <v>MÓDULO 2 – ENCARGOS E BENEFÍCIOS ANUAIS, MENSAIS E DIÁRIOS</v>
      </c>
      <c r="C116" s="373"/>
      <c r="D116" s="373"/>
      <c r="E116" s="373"/>
      <c r="F116" s="373"/>
      <c r="G116" s="373"/>
      <c r="H116" s="373"/>
      <c r="I116" s="16">
        <f>I61</f>
        <v>985.65877824999995</v>
      </c>
    </row>
    <row r="117" spans="1:12" x14ac:dyDescent="0.2">
      <c r="A117" s="69" t="s">
        <v>5</v>
      </c>
      <c r="B117" s="373" t="str">
        <f>A63</f>
        <v>MÓDULO 3 – PROVISÃO PARA RESCISÃO</v>
      </c>
      <c r="C117" s="373"/>
      <c r="D117" s="373"/>
      <c r="E117" s="373"/>
      <c r="F117" s="373"/>
      <c r="G117" s="373"/>
      <c r="H117" s="373"/>
      <c r="I117" s="16">
        <f>I71</f>
        <v>67.599375500000008</v>
      </c>
    </row>
    <row r="118" spans="1:12" x14ac:dyDescent="0.2">
      <c r="A118" s="69" t="s">
        <v>7</v>
      </c>
      <c r="B118" s="373" t="str">
        <f>A73</f>
        <v>MÓDULO 4 – CUSTO DE REPOSIÇÃO DO PROFISSIONAL AUSENTE</v>
      </c>
      <c r="C118" s="373"/>
      <c r="D118" s="373"/>
      <c r="E118" s="373"/>
      <c r="F118" s="373"/>
      <c r="G118" s="373"/>
      <c r="H118" s="373"/>
      <c r="I118" s="16">
        <f>I92</f>
        <v>93.847500000000011</v>
      </c>
    </row>
    <row r="119" spans="1:12" x14ac:dyDescent="0.2">
      <c r="A119" s="69" t="s">
        <v>27</v>
      </c>
      <c r="B119" s="373" t="str">
        <f>A94</f>
        <v>MÓDULO 5 – INSUMOS DIVERSOS</v>
      </c>
      <c r="C119" s="373"/>
      <c r="D119" s="373"/>
      <c r="E119" s="373"/>
      <c r="F119" s="373"/>
      <c r="G119" s="373"/>
      <c r="H119" s="373"/>
      <c r="I119" s="16">
        <f>I100</f>
        <v>161.18333333333334</v>
      </c>
    </row>
    <row r="120" spans="1:12" x14ac:dyDescent="0.2">
      <c r="A120" s="70"/>
      <c r="B120" s="389" t="s">
        <v>100</v>
      </c>
      <c r="C120" s="389"/>
      <c r="D120" s="389"/>
      <c r="E120" s="389"/>
      <c r="F120" s="389"/>
      <c r="G120" s="389"/>
      <c r="H120" s="389"/>
      <c r="I120" s="13">
        <f>(SUM(I115:I119))</f>
        <v>2383.2889870833333</v>
      </c>
    </row>
    <row r="121" spans="1:12" x14ac:dyDescent="0.2">
      <c r="A121" s="69" t="s">
        <v>29</v>
      </c>
      <c r="B121" s="373" t="str">
        <f>A102</f>
        <v>MÓDULO 6 – CUSTOS INDIRETOS, TRIBUTOS E LUCRO</v>
      </c>
      <c r="C121" s="373"/>
      <c r="D121" s="373"/>
      <c r="E121" s="373"/>
      <c r="F121" s="373"/>
      <c r="G121" s="373"/>
      <c r="H121" s="373"/>
      <c r="I121" s="5">
        <f>I110</f>
        <v>498.8470397102011</v>
      </c>
    </row>
    <row r="122" spans="1:12" x14ac:dyDescent="0.2">
      <c r="A122" s="389" t="s">
        <v>101</v>
      </c>
      <c r="B122" s="389"/>
      <c r="C122" s="389"/>
      <c r="D122" s="389"/>
      <c r="E122" s="389"/>
      <c r="F122" s="389"/>
      <c r="G122" s="389"/>
      <c r="H122" s="389"/>
      <c r="I122" s="13">
        <f>(SUM(I120:I121))</f>
        <v>2882.1360267935343</v>
      </c>
      <c r="K122" s="51"/>
    </row>
    <row r="123" spans="1:12" x14ac:dyDescent="0.2">
      <c r="I123" s="20"/>
      <c r="K123" s="51"/>
    </row>
    <row r="124" spans="1:12" hidden="1" x14ac:dyDescent="0.2">
      <c r="A124" s="72"/>
      <c r="B124" s="379" t="s">
        <v>102</v>
      </c>
      <c r="C124" s="379"/>
      <c r="D124" s="379"/>
      <c r="E124" s="379"/>
      <c r="F124" s="379"/>
      <c r="G124" s="379"/>
      <c r="H124" s="8"/>
      <c r="I124" s="8"/>
      <c r="K124" s="51"/>
    </row>
    <row r="125" spans="1:12" ht="40.5" hidden="1" customHeight="1" x14ac:dyDescent="0.2">
      <c r="A125" s="385" t="s">
        <v>103</v>
      </c>
      <c r="B125" s="385"/>
      <c r="C125" s="385" t="s">
        <v>104</v>
      </c>
      <c r="D125" s="385"/>
      <c r="E125" s="385" t="s">
        <v>105</v>
      </c>
      <c r="F125" s="385"/>
      <c r="G125" s="28" t="s">
        <v>106</v>
      </c>
      <c r="H125" s="73" t="s">
        <v>107</v>
      </c>
      <c r="I125" s="75"/>
      <c r="K125" s="51"/>
    </row>
    <row r="126" spans="1:12" hidden="1" x14ac:dyDescent="0.2">
      <c r="A126" s="386" t="s">
        <v>108</v>
      </c>
      <c r="B126" s="386"/>
      <c r="C126" s="387" t="s">
        <v>109</v>
      </c>
      <c r="D126" s="387"/>
      <c r="E126" s="388"/>
      <c r="F126" s="388"/>
      <c r="G126" s="29" t="s">
        <v>109</v>
      </c>
      <c r="H126" s="30"/>
      <c r="I126" s="31"/>
      <c r="K126" s="51"/>
    </row>
    <row r="127" spans="1:12" hidden="1" x14ac:dyDescent="0.2">
      <c r="A127" s="381" t="s">
        <v>110</v>
      </c>
      <c r="B127" s="381"/>
      <c r="C127" s="382" t="s">
        <v>109</v>
      </c>
      <c r="D127" s="382"/>
      <c r="E127" s="383"/>
      <c r="F127" s="383"/>
      <c r="G127" s="32" t="s">
        <v>109</v>
      </c>
      <c r="H127" s="33"/>
      <c r="I127" s="34"/>
      <c r="K127" s="51"/>
    </row>
    <row r="128" spans="1:12" hidden="1" x14ac:dyDescent="0.2">
      <c r="A128" s="381" t="s">
        <v>111</v>
      </c>
      <c r="B128" s="381"/>
      <c r="C128" s="382" t="s">
        <v>109</v>
      </c>
      <c r="D128" s="382"/>
      <c r="E128" s="383"/>
      <c r="F128" s="383"/>
      <c r="G128" s="32" t="s">
        <v>109</v>
      </c>
      <c r="H128" s="33"/>
      <c r="I128" s="34"/>
      <c r="K128" s="51"/>
    </row>
    <row r="129" spans="1:11" hidden="1" x14ac:dyDescent="0.2">
      <c r="A129" s="381" t="s">
        <v>112</v>
      </c>
      <c r="B129" s="381"/>
      <c r="C129" s="382" t="s">
        <v>109</v>
      </c>
      <c r="D129" s="382"/>
      <c r="E129" s="383"/>
      <c r="F129" s="383"/>
      <c r="G129" s="32" t="s">
        <v>109</v>
      </c>
      <c r="H129" s="33"/>
      <c r="I129" s="34"/>
      <c r="K129" s="51"/>
    </row>
    <row r="130" spans="1:11" hidden="1" x14ac:dyDescent="0.2">
      <c r="A130" s="384"/>
      <c r="B130" s="384"/>
      <c r="C130" s="383"/>
      <c r="D130" s="383"/>
      <c r="E130" s="383"/>
      <c r="F130" s="383"/>
      <c r="G130" s="35"/>
      <c r="H130" s="36"/>
      <c r="I130" s="34"/>
      <c r="K130" s="51"/>
    </row>
    <row r="131" spans="1:11" ht="13.5" hidden="1" thickBot="1" x14ac:dyDescent="0.25">
      <c r="A131" s="376"/>
      <c r="B131" s="376"/>
      <c r="C131" s="377"/>
      <c r="D131" s="377"/>
      <c r="E131" s="377"/>
      <c r="F131" s="377"/>
      <c r="G131" s="37"/>
      <c r="H131" s="38"/>
      <c r="I131" s="39"/>
      <c r="K131" s="51"/>
    </row>
    <row r="132" spans="1:11" ht="13.5" hidden="1" thickBot="1" x14ac:dyDescent="0.25">
      <c r="A132" s="378" t="s">
        <v>113</v>
      </c>
      <c r="B132" s="378"/>
      <c r="C132" s="378"/>
      <c r="D132" s="378"/>
      <c r="E132" s="378"/>
      <c r="F132" s="378"/>
      <c r="G132" s="378"/>
      <c r="H132" s="378"/>
      <c r="I132" s="40"/>
      <c r="K132" s="51"/>
    </row>
    <row r="133" spans="1:11" x14ac:dyDescent="0.2">
      <c r="I133" s="20"/>
    </row>
    <row r="134" spans="1:11" hidden="1" x14ac:dyDescent="0.2">
      <c r="A134" s="72"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74"/>
      <c r="B136" s="371" t="s">
        <v>117</v>
      </c>
      <c r="C136" s="371"/>
      <c r="D136" s="371"/>
      <c r="E136" s="371"/>
      <c r="F136" s="371"/>
      <c r="G136" s="371"/>
      <c r="H136" s="371"/>
      <c r="I136" s="75" t="s">
        <v>22</v>
      </c>
    </row>
    <row r="137" spans="1:11" hidden="1" x14ac:dyDescent="0.2">
      <c r="A137" s="41" t="s">
        <v>1</v>
      </c>
      <c r="B137" s="372" t="s">
        <v>118</v>
      </c>
      <c r="C137" s="372"/>
      <c r="D137" s="372"/>
      <c r="E137" s="372"/>
      <c r="F137" s="372"/>
      <c r="G137" s="372"/>
      <c r="H137" s="372"/>
      <c r="I137" s="42">
        <f>I107</f>
        <v>18.733884174157971</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498.8470397102011</v>
      </c>
    </row>
    <row r="140" spans="1:11" ht="13.5" hidden="1" thickBot="1" x14ac:dyDescent="0.25">
      <c r="A140" s="375" t="s">
        <v>121</v>
      </c>
      <c r="B140" s="375"/>
      <c r="C140" s="375"/>
      <c r="D140" s="375"/>
      <c r="E140" s="375"/>
      <c r="F140" s="375"/>
      <c r="G140" s="375"/>
      <c r="H140" s="375"/>
      <c r="I140" s="40" t="e">
        <f>SUM(I137:I139)</f>
        <v>#REF!</v>
      </c>
    </row>
    <row r="141" spans="1:11" hidden="1" x14ac:dyDescent="0.2">
      <c r="A141" s="72" t="s">
        <v>122</v>
      </c>
      <c r="B141" s="45" t="s">
        <v>123</v>
      </c>
    </row>
  </sheetData>
  <mergeCells count="171">
    <mergeCell ref="B136:H136"/>
    <mergeCell ref="B137:H137"/>
    <mergeCell ref="B138:H138"/>
    <mergeCell ref="B139:H139"/>
    <mergeCell ref="A140:H140"/>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B117:H117"/>
    <mergeCell ref="B118:H118"/>
    <mergeCell ref="B119:H119"/>
    <mergeCell ref="B120:H120"/>
    <mergeCell ref="B121:H121"/>
    <mergeCell ref="A122:H122"/>
    <mergeCell ref="A110:G110"/>
    <mergeCell ref="B111:I111"/>
    <mergeCell ref="A113:I113"/>
    <mergeCell ref="A114:H114"/>
    <mergeCell ref="B115:H115"/>
    <mergeCell ref="B116:H116"/>
    <mergeCell ref="B104:G104"/>
    <mergeCell ref="B105:G105"/>
    <mergeCell ref="B106:G106"/>
    <mergeCell ref="B107:G107"/>
    <mergeCell ref="B108:G108"/>
    <mergeCell ref="B109:G109"/>
    <mergeCell ref="B98:G98"/>
    <mergeCell ref="B99:G99"/>
    <mergeCell ref="A100:G100"/>
    <mergeCell ref="A101:I101"/>
    <mergeCell ref="A102:I102"/>
    <mergeCell ref="B103:G103"/>
    <mergeCell ref="A92:H92"/>
    <mergeCell ref="A93:I93"/>
    <mergeCell ref="A94:I94"/>
    <mergeCell ref="B95:G95"/>
    <mergeCell ref="B96:G96"/>
    <mergeCell ref="B97:G97"/>
    <mergeCell ref="A85:G85"/>
    <mergeCell ref="A86:I86"/>
    <mergeCell ref="A87:I87"/>
    <mergeCell ref="A88:H88"/>
    <mergeCell ref="B89:H89"/>
    <mergeCell ref="B90:H90"/>
    <mergeCell ref="B79:G79"/>
    <mergeCell ref="B80:G80"/>
    <mergeCell ref="A81:G81"/>
    <mergeCell ref="A82:I82"/>
    <mergeCell ref="A83:G83"/>
    <mergeCell ref="B84:G84"/>
    <mergeCell ref="A73:I73"/>
    <mergeCell ref="A74:G74"/>
    <mergeCell ref="B75:G75"/>
    <mergeCell ref="B76:G76"/>
    <mergeCell ref="B77:G77"/>
    <mergeCell ref="B78:G78"/>
    <mergeCell ref="B67:G67"/>
    <mergeCell ref="B68:G68"/>
    <mergeCell ref="B69:G69"/>
    <mergeCell ref="B70:G70"/>
    <mergeCell ref="A71:G71"/>
    <mergeCell ref="A72:I72"/>
    <mergeCell ref="A61:H61"/>
    <mergeCell ref="A62:I62"/>
    <mergeCell ref="A63:I63"/>
    <mergeCell ref="B64:G64"/>
    <mergeCell ref="B65:G65"/>
    <mergeCell ref="B66:G66"/>
    <mergeCell ref="A55:I55"/>
    <mergeCell ref="A56:I56"/>
    <mergeCell ref="A57:H57"/>
    <mergeCell ref="B58:H58"/>
    <mergeCell ref="B59:H59"/>
    <mergeCell ref="B60:H60"/>
    <mergeCell ref="B49:G49"/>
    <mergeCell ref="B50:G50"/>
    <mergeCell ref="B51:G51"/>
    <mergeCell ref="B52:G52"/>
    <mergeCell ref="B53:G53"/>
    <mergeCell ref="A54:H54"/>
    <mergeCell ref="B43:G43"/>
    <mergeCell ref="B44:G44"/>
    <mergeCell ref="B45:G45"/>
    <mergeCell ref="A46:G46"/>
    <mergeCell ref="A47:I47"/>
    <mergeCell ref="A48:G48"/>
    <mergeCell ref="B33:G33"/>
    <mergeCell ref="A35:G35"/>
    <mergeCell ref="A36:I36"/>
    <mergeCell ref="A37:G37"/>
    <mergeCell ref="K37:K45"/>
    <mergeCell ref="B38:G38"/>
    <mergeCell ref="B39:G39"/>
    <mergeCell ref="B40:G40"/>
    <mergeCell ref="B41:G41"/>
    <mergeCell ref="B42:G42"/>
    <mergeCell ref="B34:G34"/>
    <mergeCell ref="A28:H28"/>
    <mergeCell ref="A30:I30"/>
    <mergeCell ref="A31:G31"/>
    <mergeCell ref="B32:G32"/>
    <mergeCell ref="B20:G20"/>
    <mergeCell ref="B21:G21"/>
    <mergeCell ref="B22:G22"/>
    <mergeCell ref="B23:G23"/>
    <mergeCell ref="B24:G24"/>
    <mergeCell ref="B25:G25"/>
    <mergeCell ref="A19:I19"/>
    <mergeCell ref="L11:Q11"/>
    <mergeCell ref="R11:S11"/>
    <mergeCell ref="A12:I12"/>
    <mergeCell ref="L12:Q12"/>
    <mergeCell ref="R12:S12"/>
    <mergeCell ref="B13:H13"/>
    <mergeCell ref="B26:G26"/>
    <mergeCell ref="B27:G27"/>
    <mergeCell ref="C10:D10"/>
    <mergeCell ref="E10:I10"/>
    <mergeCell ref="L10:Q10"/>
    <mergeCell ref="R10:S10"/>
    <mergeCell ref="B14:H14"/>
    <mergeCell ref="B15:H15"/>
    <mergeCell ref="B16:H16"/>
    <mergeCell ref="B17:H17"/>
    <mergeCell ref="A18:I18"/>
    <mergeCell ref="B91:H91"/>
    <mergeCell ref="A2:I2"/>
    <mergeCell ref="B5:H5"/>
    <mergeCell ref="K5:S5"/>
    <mergeCell ref="B6:H6"/>
    <mergeCell ref="K6:S6"/>
    <mergeCell ref="K7:S7"/>
    <mergeCell ref="A8:I8"/>
    <mergeCell ref="K8:S8"/>
    <mergeCell ref="K2:S2"/>
    <mergeCell ref="B3:H3"/>
    <mergeCell ref="L3:M3"/>
    <mergeCell ref="N3:Q3"/>
    <mergeCell ref="R3:S3"/>
    <mergeCell ref="B4:H4"/>
    <mergeCell ref="L4:M4"/>
    <mergeCell ref="N4:Q4"/>
    <mergeCell ref="R4:S4"/>
    <mergeCell ref="A9:B9"/>
    <mergeCell ref="C9:D9"/>
    <mergeCell ref="E9:I9"/>
    <mergeCell ref="L9:Q9"/>
    <mergeCell ref="R9:S9"/>
    <mergeCell ref="A10:B10"/>
  </mergeCells>
  <pageMargins left="0.25" right="0.25" top="0.75" bottom="0.75" header="0.3" footer="0.3"/>
  <pageSetup paperSize="9" firstPageNumber="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A6BAA-4DFB-4F5F-A869-5B5DEE2AFE87}">
  <sheetPr>
    <tabColor rgb="FFFFFF00"/>
  </sheetPr>
  <dimension ref="A2:S141"/>
  <sheetViews>
    <sheetView tabSelected="1" topLeftCell="A94" zoomScale="118" zoomScaleNormal="118" workbookViewId="0">
      <selection activeCell="I104" sqref="I104"/>
    </sheetView>
  </sheetViews>
  <sheetFormatPr defaultColWidth="9.140625" defaultRowHeight="12.75" x14ac:dyDescent="0.2"/>
  <cols>
    <col min="1"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340" t="s">
        <v>1</v>
      </c>
      <c r="B3" s="373" t="s">
        <v>2</v>
      </c>
      <c r="C3" s="373"/>
      <c r="D3" s="373"/>
      <c r="E3" s="373"/>
      <c r="F3" s="373"/>
      <c r="G3" s="373"/>
      <c r="H3" s="373"/>
      <c r="I3" s="1">
        <v>44182</v>
      </c>
      <c r="K3" s="347"/>
      <c r="L3" s="410"/>
      <c r="M3" s="410"/>
      <c r="N3" s="410"/>
      <c r="O3" s="410"/>
      <c r="P3" s="410"/>
      <c r="Q3" s="410"/>
      <c r="R3" s="416"/>
      <c r="S3" s="416"/>
    </row>
    <row r="4" spans="1:19" x14ac:dyDescent="0.2">
      <c r="A4" s="340" t="s">
        <v>3</v>
      </c>
      <c r="B4" s="373" t="s">
        <v>4</v>
      </c>
      <c r="C4" s="373"/>
      <c r="D4" s="373"/>
      <c r="E4" s="373"/>
      <c r="F4" s="373"/>
      <c r="G4" s="373"/>
      <c r="H4" s="373"/>
      <c r="I4" s="340" t="s">
        <v>183</v>
      </c>
      <c r="K4" s="347"/>
      <c r="L4" s="407"/>
      <c r="M4" s="407"/>
      <c r="N4" s="410"/>
      <c r="O4" s="410"/>
      <c r="P4" s="410"/>
      <c r="Q4" s="410"/>
      <c r="R4" s="410"/>
      <c r="S4" s="410"/>
    </row>
    <row r="5" spans="1:19" x14ac:dyDescent="0.2">
      <c r="A5" s="340" t="s">
        <v>5</v>
      </c>
      <c r="B5" s="373" t="s">
        <v>6</v>
      </c>
      <c r="C5" s="373"/>
      <c r="D5" s="373"/>
      <c r="E5" s="373"/>
      <c r="F5" s="373"/>
      <c r="G5" s="373"/>
      <c r="H5" s="373"/>
      <c r="I5" s="340">
        <v>2020</v>
      </c>
      <c r="K5" s="414"/>
      <c r="L5" s="414"/>
      <c r="M5" s="414"/>
      <c r="N5" s="414"/>
      <c r="O5" s="414"/>
      <c r="P5" s="414"/>
      <c r="Q5" s="414"/>
      <c r="R5" s="414"/>
      <c r="S5" s="414"/>
    </row>
    <row r="6" spans="1:19" x14ac:dyDescent="0.2">
      <c r="A6" s="340" t="s">
        <v>7</v>
      </c>
      <c r="B6" s="373" t="s">
        <v>8</v>
      </c>
      <c r="C6" s="373"/>
      <c r="D6" s="373"/>
      <c r="E6" s="373"/>
      <c r="F6" s="373"/>
      <c r="G6" s="373"/>
      <c r="H6" s="373"/>
      <c r="I6" s="340">
        <v>12</v>
      </c>
      <c r="K6" s="414"/>
      <c r="L6" s="414"/>
      <c r="M6" s="414"/>
      <c r="N6" s="414"/>
      <c r="O6" s="414"/>
      <c r="P6" s="414"/>
      <c r="Q6" s="414"/>
      <c r="R6" s="414"/>
      <c r="S6" s="414"/>
    </row>
    <row r="7" spans="1:19" x14ac:dyDescent="0.2">
      <c r="A7" s="342"/>
      <c r="B7" s="346"/>
      <c r="C7" s="346"/>
      <c r="D7" s="346"/>
      <c r="E7" s="346"/>
      <c r="F7" s="346"/>
      <c r="G7" s="346"/>
      <c r="H7" s="342"/>
      <c r="I7" s="342"/>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347"/>
      <c r="L9" s="406"/>
      <c r="M9" s="406"/>
      <c r="N9" s="406"/>
      <c r="O9" s="406"/>
      <c r="P9" s="406"/>
      <c r="Q9" s="406"/>
      <c r="R9" s="410"/>
      <c r="S9" s="410"/>
    </row>
    <row r="10" spans="1:19" ht="27" customHeight="1" x14ac:dyDescent="0.2">
      <c r="A10" s="411" t="s">
        <v>135</v>
      </c>
      <c r="B10" s="411"/>
      <c r="C10" s="370"/>
      <c r="D10" s="370"/>
      <c r="E10" s="412">
        <v>1</v>
      </c>
      <c r="F10" s="412"/>
      <c r="G10" s="412"/>
      <c r="H10" s="412"/>
      <c r="I10" s="412"/>
      <c r="K10" s="348"/>
      <c r="L10" s="408"/>
      <c r="M10" s="408"/>
      <c r="N10" s="408"/>
      <c r="O10" s="408"/>
      <c r="P10" s="408"/>
      <c r="Q10" s="408"/>
      <c r="R10" s="413"/>
      <c r="S10" s="413"/>
    </row>
    <row r="11" spans="1:19" x14ac:dyDescent="0.2">
      <c r="A11" s="342"/>
      <c r="B11" s="346"/>
      <c r="C11" s="346"/>
      <c r="D11" s="346"/>
      <c r="E11" s="346"/>
      <c r="F11" s="346"/>
      <c r="G11" s="346"/>
      <c r="H11" s="342"/>
      <c r="I11" s="342"/>
      <c r="K11" s="347"/>
      <c r="L11" s="406"/>
      <c r="M11" s="406"/>
      <c r="N11" s="406"/>
      <c r="O11" s="406"/>
      <c r="P11" s="406"/>
      <c r="Q11" s="406"/>
      <c r="R11" s="407"/>
      <c r="S11" s="407"/>
    </row>
    <row r="12" spans="1:19" x14ac:dyDescent="0.2">
      <c r="A12" s="395" t="s">
        <v>13</v>
      </c>
      <c r="B12" s="395"/>
      <c r="C12" s="395"/>
      <c r="D12" s="395"/>
      <c r="E12" s="395"/>
      <c r="F12" s="395"/>
      <c r="G12" s="395"/>
      <c r="H12" s="395"/>
      <c r="I12" s="395"/>
      <c r="K12" s="348"/>
      <c r="L12" s="408"/>
      <c r="M12" s="408"/>
      <c r="N12" s="408"/>
      <c r="O12" s="408"/>
      <c r="P12" s="408"/>
      <c r="Q12" s="408"/>
      <c r="R12" s="409"/>
      <c r="S12" s="409"/>
    </row>
    <row r="13" spans="1:19" x14ac:dyDescent="0.2">
      <c r="A13" s="340">
        <v>1</v>
      </c>
      <c r="B13" s="373" t="s">
        <v>14</v>
      </c>
      <c r="C13" s="373"/>
      <c r="D13" s="373"/>
      <c r="E13" s="373"/>
      <c r="F13" s="373"/>
      <c r="G13" s="373"/>
      <c r="H13" s="373"/>
      <c r="I13" s="50" t="s">
        <v>184</v>
      </c>
      <c r="K13" s="2"/>
      <c r="L13" s="2"/>
      <c r="M13" s="2"/>
      <c r="N13" s="2"/>
      <c r="O13" s="2"/>
      <c r="P13" s="2"/>
      <c r="Q13" s="2"/>
      <c r="R13" s="2"/>
      <c r="S13" s="2"/>
    </row>
    <row r="14" spans="1:19" x14ac:dyDescent="0.2">
      <c r="A14" s="340">
        <v>2</v>
      </c>
      <c r="B14" s="373" t="s">
        <v>15</v>
      </c>
      <c r="C14" s="373"/>
      <c r="D14" s="373"/>
      <c r="E14" s="373"/>
      <c r="F14" s="373"/>
      <c r="G14" s="373"/>
      <c r="H14" s="373"/>
      <c r="I14" s="340"/>
    </row>
    <row r="15" spans="1:19" x14ac:dyDescent="0.2">
      <c r="A15" s="340">
        <v>3</v>
      </c>
      <c r="B15" s="373" t="s">
        <v>16</v>
      </c>
      <c r="C15" s="373"/>
      <c r="D15" s="373"/>
      <c r="E15" s="373"/>
      <c r="F15" s="373"/>
      <c r="G15" s="373"/>
      <c r="H15" s="373"/>
      <c r="I15" s="3">
        <v>1075</v>
      </c>
    </row>
    <row r="16" spans="1:19" x14ac:dyDescent="0.2">
      <c r="A16" s="340">
        <v>4</v>
      </c>
      <c r="B16" s="373" t="s">
        <v>17</v>
      </c>
      <c r="C16" s="373"/>
      <c r="D16" s="373"/>
      <c r="E16" s="373"/>
      <c r="F16" s="373"/>
      <c r="G16" s="373"/>
      <c r="H16" s="373"/>
      <c r="I16" s="1" t="str">
        <f>A10</f>
        <v>ASG MUTIRAO</v>
      </c>
    </row>
    <row r="17" spans="1:12" x14ac:dyDescent="0.2">
      <c r="A17" s="340">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345">
        <v>1</v>
      </c>
      <c r="B20" s="389" t="s">
        <v>20</v>
      </c>
      <c r="C20" s="389"/>
      <c r="D20" s="389"/>
      <c r="E20" s="389"/>
      <c r="F20" s="389"/>
      <c r="G20" s="389"/>
      <c r="H20" s="345" t="s">
        <v>21</v>
      </c>
      <c r="I20" s="345" t="s">
        <v>22</v>
      </c>
    </row>
    <row r="21" spans="1:12" x14ac:dyDescent="0.2">
      <c r="A21" s="345" t="s">
        <v>1</v>
      </c>
      <c r="B21" s="373" t="s">
        <v>23</v>
      </c>
      <c r="C21" s="373"/>
      <c r="D21" s="373"/>
      <c r="E21" s="373"/>
      <c r="F21" s="373"/>
      <c r="G21" s="373"/>
      <c r="H21" s="4"/>
      <c r="I21" s="5">
        <f>I15</f>
        <v>1075</v>
      </c>
      <c r="L21" s="20">
        <f>I35+I46+I71+I81</f>
        <v>708.60565374999999</v>
      </c>
    </row>
    <row r="22" spans="1:12" x14ac:dyDescent="0.2">
      <c r="A22" s="345" t="s">
        <v>3</v>
      </c>
      <c r="B22" s="373" t="s">
        <v>24</v>
      </c>
      <c r="C22" s="373"/>
      <c r="D22" s="373"/>
      <c r="E22" s="373"/>
      <c r="F22" s="373"/>
      <c r="G22" s="373"/>
      <c r="H22" s="6"/>
      <c r="I22" s="5">
        <v>0</v>
      </c>
      <c r="L22" s="53">
        <f>L21/I28</f>
        <v>0.65916805000000001</v>
      </c>
    </row>
    <row r="23" spans="1:12" x14ac:dyDescent="0.2">
      <c r="A23" s="345" t="s">
        <v>5</v>
      </c>
      <c r="B23" s="373" t="s">
        <v>25</v>
      </c>
      <c r="C23" s="373"/>
      <c r="D23" s="373"/>
      <c r="E23" s="373"/>
      <c r="F23" s="373"/>
      <c r="G23" s="373"/>
      <c r="H23" s="6">
        <v>0</v>
      </c>
      <c r="I23" s="5">
        <f>I21*H23</f>
        <v>0</v>
      </c>
    </row>
    <row r="24" spans="1:12" x14ac:dyDescent="0.2">
      <c r="A24" s="345" t="s">
        <v>7</v>
      </c>
      <c r="B24" s="373" t="s">
        <v>26</v>
      </c>
      <c r="C24" s="373"/>
      <c r="D24" s="373"/>
      <c r="E24" s="373"/>
      <c r="F24" s="373"/>
      <c r="G24" s="373"/>
      <c r="H24" s="6"/>
      <c r="I24" s="5">
        <v>0</v>
      </c>
    </row>
    <row r="25" spans="1:12" x14ac:dyDescent="0.2">
      <c r="A25" s="345" t="s">
        <v>27</v>
      </c>
      <c r="B25" s="373" t="s">
        <v>28</v>
      </c>
      <c r="C25" s="373"/>
      <c r="D25" s="373"/>
      <c r="E25" s="373"/>
      <c r="F25" s="373"/>
      <c r="G25" s="373"/>
      <c r="H25" s="6"/>
      <c r="I25" s="5">
        <v>0</v>
      </c>
    </row>
    <row r="26" spans="1:12" x14ac:dyDescent="0.2">
      <c r="A26" s="345" t="s">
        <v>29</v>
      </c>
      <c r="B26" s="373" t="s">
        <v>30</v>
      </c>
      <c r="C26" s="373"/>
      <c r="D26" s="373"/>
      <c r="E26" s="373"/>
      <c r="F26" s="373"/>
      <c r="G26" s="373"/>
      <c r="H26" s="6"/>
      <c r="I26" s="5">
        <v>0</v>
      </c>
    </row>
    <row r="27" spans="1:12" x14ac:dyDescent="0.2">
      <c r="A27" s="345"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1075</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345" t="s">
        <v>21</v>
      </c>
      <c r="I31" s="345" t="s">
        <v>22</v>
      </c>
      <c r="J31" s="48"/>
    </row>
    <row r="32" spans="1:12" x14ac:dyDescent="0.2">
      <c r="A32" s="345" t="s">
        <v>1</v>
      </c>
      <c r="B32" s="373" t="s">
        <v>36</v>
      </c>
      <c r="C32" s="373"/>
      <c r="D32" s="373"/>
      <c r="E32" s="373"/>
      <c r="F32" s="373"/>
      <c r="G32" s="373"/>
      <c r="H32" s="10">
        <v>8.3299999999999999E-2</v>
      </c>
      <c r="I32" s="5">
        <f>$I$28*H32</f>
        <v>89.547499999999999</v>
      </c>
      <c r="J32" s="48"/>
    </row>
    <row r="33" spans="1:11" x14ac:dyDescent="0.2">
      <c r="A33" s="345" t="s">
        <v>3</v>
      </c>
      <c r="B33" s="373" t="s">
        <v>185</v>
      </c>
      <c r="C33" s="373"/>
      <c r="D33" s="373"/>
      <c r="E33" s="373"/>
      <c r="F33" s="373"/>
      <c r="G33" s="373"/>
      <c r="H33" s="11">
        <v>2.7799999999999998E-2</v>
      </c>
      <c r="I33" s="5">
        <f>H33*I28</f>
        <v>29.884999999999998</v>
      </c>
      <c r="J33" s="48"/>
    </row>
    <row r="34" spans="1:11" x14ac:dyDescent="0.2">
      <c r="A34" s="345" t="s">
        <v>132</v>
      </c>
      <c r="B34" s="373" t="s">
        <v>133</v>
      </c>
      <c r="C34" s="373"/>
      <c r="D34" s="373"/>
      <c r="E34" s="373"/>
      <c r="F34" s="373"/>
      <c r="G34" s="373"/>
      <c r="H34" s="11">
        <f>(H32+H33)*H46</f>
        <v>3.9784910000000007E-2</v>
      </c>
      <c r="I34" s="5">
        <f>I28*H34</f>
        <v>42.768778250000004</v>
      </c>
      <c r="J34" s="48"/>
    </row>
    <row r="35" spans="1:11" x14ac:dyDescent="0.2">
      <c r="A35" s="389" t="s">
        <v>37</v>
      </c>
      <c r="B35" s="389"/>
      <c r="C35" s="389"/>
      <c r="D35" s="389"/>
      <c r="E35" s="389"/>
      <c r="F35" s="389"/>
      <c r="G35" s="389"/>
      <c r="H35" s="12">
        <f>TRUNC(SUM(H32:H33),4)</f>
        <v>0.1111</v>
      </c>
      <c r="I35" s="13">
        <f>SUM(I32:I34)</f>
        <v>162.20127825</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345" t="s">
        <v>21</v>
      </c>
      <c r="I37" s="345" t="s">
        <v>22</v>
      </c>
      <c r="J37" s="48"/>
      <c r="K37" s="404"/>
    </row>
    <row r="38" spans="1:11" x14ac:dyDescent="0.2">
      <c r="A38" s="345" t="s">
        <v>1</v>
      </c>
      <c r="B38" s="373" t="s">
        <v>39</v>
      </c>
      <c r="C38" s="373"/>
      <c r="D38" s="373"/>
      <c r="E38" s="373"/>
      <c r="F38" s="373"/>
      <c r="G38" s="373"/>
      <c r="H38" s="10">
        <v>0.2</v>
      </c>
      <c r="I38" s="5">
        <f>($I$28)*H38</f>
        <v>215</v>
      </c>
      <c r="J38" s="48"/>
      <c r="K38" s="404"/>
    </row>
    <row r="39" spans="1:11" x14ac:dyDescent="0.2">
      <c r="A39" s="345" t="s">
        <v>3</v>
      </c>
      <c r="B39" s="373" t="s">
        <v>40</v>
      </c>
      <c r="C39" s="373"/>
      <c r="D39" s="373"/>
      <c r="E39" s="373"/>
      <c r="F39" s="373"/>
      <c r="G39" s="373"/>
      <c r="H39" s="10">
        <v>2.5000000000000001E-2</v>
      </c>
      <c r="I39" s="5">
        <f t="shared" ref="I39:I45" si="0">($I$28)*H39</f>
        <v>26.875</v>
      </c>
      <c r="J39" s="48"/>
      <c r="K39" s="404"/>
    </row>
    <row r="40" spans="1:11" x14ac:dyDescent="0.2">
      <c r="A40" s="345" t="s">
        <v>5</v>
      </c>
      <c r="B40" s="373" t="s">
        <v>41</v>
      </c>
      <c r="C40" s="373"/>
      <c r="D40" s="373"/>
      <c r="E40" s="373"/>
      <c r="F40" s="373"/>
      <c r="G40" s="373"/>
      <c r="H40" s="10">
        <v>2.01E-2</v>
      </c>
      <c r="I40" s="5">
        <f t="shared" si="0"/>
        <v>21.607499999999998</v>
      </c>
      <c r="J40" s="48"/>
      <c r="K40" s="404"/>
    </row>
    <row r="41" spans="1:11" x14ac:dyDescent="0.2">
      <c r="A41" s="345" t="s">
        <v>7</v>
      </c>
      <c r="B41" s="373" t="s">
        <v>42</v>
      </c>
      <c r="C41" s="373"/>
      <c r="D41" s="373"/>
      <c r="E41" s="373"/>
      <c r="F41" s="373"/>
      <c r="G41" s="373"/>
      <c r="H41" s="10">
        <v>1.4999999999999999E-2</v>
      </c>
      <c r="I41" s="5">
        <f t="shared" si="0"/>
        <v>16.125</v>
      </c>
      <c r="J41" s="48"/>
      <c r="K41" s="404"/>
    </row>
    <row r="42" spans="1:11" x14ac:dyDescent="0.2">
      <c r="A42" s="345" t="s">
        <v>27</v>
      </c>
      <c r="B42" s="373" t="s">
        <v>43</v>
      </c>
      <c r="C42" s="373"/>
      <c r="D42" s="373"/>
      <c r="E42" s="373"/>
      <c r="F42" s="373"/>
      <c r="G42" s="373"/>
      <c r="H42" s="10">
        <v>0.01</v>
      </c>
      <c r="I42" s="5">
        <f t="shared" si="0"/>
        <v>10.75</v>
      </c>
      <c r="J42" s="48"/>
      <c r="K42" s="404"/>
    </row>
    <row r="43" spans="1:11" x14ac:dyDescent="0.2">
      <c r="A43" s="345" t="s">
        <v>29</v>
      </c>
      <c r="B43" s="373" t="s">
        <v>44</v>
      </c>
      <c r="C43" s="373"/>
      <c r="D43" s="373"/>
      <c r="E43" s="373"/>
      <c r="F43" s="373"/>
      <c r="G43" s="373"/>
      <c r="H43" s="10">
        <v>6.0000000000000001E-3</v>
      </c>
      <c r="I43" s="5">
        <f t="shared" si="0"/>
        <v>6.45</v>
      </c>
      <c r="J43" s="48"/>
      <c r="K43" s="404"/>
    </row>
    <row r="44" spans="1:11" x14ac:dyDescent="0.2">
      <c r="A44" s="345" t="s">
        <v>31</v>
      </c>
      <c r="B44" s="373" t="s">
        <v>45</v>
      </c>
      <c r="C44" s="373"/>
      <c r="D44" s="373"/>
      <c r="E44" s="373"/>
      <c r="F44" s="373"/>
      <c r="G44" s="373"/>
      <c r="H44" s="10">
        <v>2E-3</v>
      </c>
      <c r="I44" s="5">
        <f t="shared" si="0"/>
        <v>2.15</v>
      </c>
      <c r="J44" s="48"/>
      <c r="K44" s="404"/>
    </row>
    <row r="45" spans="1:11" x14ac:dyDescent="0.2">
      <c r="A45" s="345" t="s">
        <v>46</v>
      </c>
      <c r="B45" s="373" t="s">
        <v>47</v>
      </c>
      <c r="C45" s="373"/>
      <c r="D45" s="373"/>
      <c r="E45" s="373"/>
      <c r="F45" s="373"/>
      <c r="G45" s="373"/>
      <c r="H45" s="10">
        <v>0.08</v>
      </c>
      <c r="I45" s="5">
        <f t="shared" si="0"/>
        <v>86</v>
      </c>
      <c r="J45" s="48"/>
      <c r="K45" s="404"/>
    </row>
    <row r="46" spans="1:11" x14ac:dyDescent="0.2">
      <c r="A46" s="389" t="s">
        <v>48</v>
      </c>
      <c r="B46" s="389"/>
      <c r="C46" s="389"/>
      <c r="D46" s="389"/>
      <c r="E46" s="389"/>
      <c r="F46" s="389"/>
      <c r="G46" s="389"/>
      <c r="H46" s="12">
        <f>SUM(H38:H45)</f>
        <v>0.35810000000000003</v>
      </c>
      <c r="I46" s="13">
        <f>(SUM(I38:I45))</f>
        <v>384.95749999999998</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345" t="s">
        <v>22</v>
      </c>
      <c r="J48" s="48"/>
    </row>
    <row r="49" spans="1:10" x14ac:dyDescent="0.2">
      <c r="A49" s="345" t="s">
        <v>1</v>
      </c>
      <c r="B49" s="393" t="s">
        <v>125</v>
      </c>
      <c r="C49" s="393"/>
      <c r="D49" s="393"/>
      <c r="E49" s="393"/>
      <c r="F49" s="393"/>
      <c r="G49" s="393"/>
      <c r="H49" s="55">
        <v>3.65</v>
      </c>
      <c r="I49" s="14">
        <f>(H49*2*22)-(I21*0.06)</f>
        <v>96.1</v>
      </c>
      <c r="J49" s="48"/>
    </row>
    <row r="50" spans="1:10" x14ac:dyDescent="0.2">
      <c r="A50" s="345" t="s">
        <v>3</v>
      </c>
      <c r="B50" s="393" t="s">
        <v>124</v>
      </c>
      <c r="C50" s="393"/>
      <c r="D50" s="393"/>
      <c r="E50" s="393"/>
      <c r="F50" s="393"/>
      <c r="G50" s="393"/>
      <c r="H50" s="55">
        <v>418</v>
      </c>
      <c r="I50" s="15">
        <f>H50*0.8</f>
        <v>334.40000000000003</v>
      </c>
      <c r="J50" s="49"/>
    </row>
    <row r="51" spans="1:10" x14ac:dyDescent="0.2">
      <c r="A51" s="345" t="s">
        <v>5</v>
      </c>
      <c r="B51" s="393" t="s">
        <v>126</v>
      </c>
      <c r="C51" s="393"/>
      <c r="D51" s="393"/>
      <c r="E51" s="393"/>
      <c r="F51" s="393"/>
      <c r="G51" s="393"/>
      <c r="H51" s="55">
        <v>0</v>
      </c>
      <c r="I51" s="14">
        <f>H51</f>
        <v>0</v>
      </c>
      <c r="J51" s="48"/>
    </row>
    <row r="52" spans="1:10" x14ac:dyDescent="0.2">
      <c r="A52" s="345" t="s">
        <v>7</v>
      </c>
      <c r="B52" s="397" t="s">
        <v>127</v>
      </c>
      <c r="C52" s="398"/>
      <c r="D52" s="398"/>
      <c r="E52" s="398"/>
      <c r="F52" s="398"/>
      <c r="G52" s="399"/>
      <c r="H52" s="55">
        <v>0</v>
      </c>
      <c r="I52" s="14">
        <f>H52</f>
        <v>0</v>
      </c>
      <c r="J52" s="48"/>
    </row>
    <row r="53" spans="1:10" x14ac:dyDescent="0.2">
      <c r="A53" s="345"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438.5</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345" t="s">
        <v>22</v>
      </c>
      <c r="J57" s="48"/>
    </row>
    <row r="58" spans="1:10" x14ac:dyDescent="0.2">
      <c r="A58" s="345" t="s">
        <v>54</v>
      </c>
      <c r="B58" s="370" t="s">
        <v>55</v>
      </c>
      <c r="C58" s="370"/>
      <c r="D58" s="370"/>
      <c r="E58" s="370"/>
      <c r="F58" s="370"/>
      <c r="G58" s="370"/>
      <c r="H58" s="370"/>
      <c r="I58" s="16">
        <f>I35</f>
        <v>162.20127825</v>
      </c>
      <c r="J58" s="48"/>
    </row>
    <row r="59" spans="1:10" x14ac:dyDescent="0.2">
      <c r="A59" s="345" t="s">
        <v>56</v>
      </c>
      <c r="B59" s="370" t="s">
        <v>57</v>
      </c>
      <c r="C59" s="370"/>
      <c r="D59" s="370"/>
      <c r="E59" s="370"/>
      <c r="F59" s="370"/>
      <c r="G59" s="370"/>
      <c r="H59" s="370"/>
      <c r="I59" s="16">
        <f>I46</f>
        <v>384.95749999999998</v>
      </c>
      <c r="J59" s="48"/>
    </row>
    <row r="60" spans="1:10" x14ac:dyDescent="0.2">
      <c r="A60" s="345" t="s">
        <v>58</v>
      </c>
      <c r="B60" s="370" t="s">
        <v>59</v>
      </c>
      <c r="C60" s="370"/>
      <c r="D60" s="370"/>
      <c r="E60" s="370"/>
      <c r="F60" s="370"/>
      <c r="G60" s="370"/>
      <c r="H60" s="370"/>
      <c r="I60" s="16">
        <f>I54</f>
        <v>438.5</v>
      </c>
      <c r="J60" s="48"/>
    </row>
    <row r="61" spans="1:10" x14ac:dyDescent="0.2">
      <c r="A61" s="389" t="s">
        <v>60</v>
      </c>
      <c r="B61" s="389"/>
      <c r="C61" s="389"/>
      <c r="D61" s="389"/>
      <c r="E61" s="389"/>
      <c r="F61" s="389"/>
      <c r="G61" s="389"/>
      <c r="H61" s="389"/>
      <c r="I61" s="13">
        <f>(SUM(I58:I60))</f>
        <v>985.65877824999995</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345">
        <v>3</v>
      </c>
      <c r="B64" s="389" t="s">
        <v>62</v>
      </c>
      <c r="C64" s="389"/>
      <c r="D64" s="389"/>
      <c r="E64" s="389"/>
      <c r="F64" s="389"/>
      <c r="G64" s="389"/>
      <c r="H64" s="345" t="s">
        <v>21</v>
      </c>
      <c r="I64" s="345" t="s">
        <v>22</v>
      </c>
      <c r="J64" s="48"/>
    </row>
    <row r="65" spans="1:11" x14ac:dyDescent="0.2">
      <c r="A65" s="345" t="s">
        <v>1</v>
      </c>
      <c r="B65" s="373" t="s">
        <v>63</v>
      </c>
      <c r="C65" s="373"/>
      <c r="D65" s="373"/>
      <c r="E65" s="373"/>
      <c r="F65" s="373"/>
      <c r="G65" s="373"/>
      <c r="H65" s="17">
        <v>4.1999999999999997E-3</v>
      </c>
      <c r="I65" s="16">
        <f>$I$28*H65</f>
        <v>4.5149999999999997</v>
      </c>
      <c r="J65" s="48"/>
    </row>
    <row r="66" spans="1:11" x14ac:dyDescent="0.2">
      <c r="A66" s="345" t="s">
        <v>3</v>
      </c>
      <c r="B66" s="373" t="s">
        <v>64</v>
      </c>
      <c r="C66" s="373"/>
      <c r="D66" s="373"/>
      <c r="E66" s="373"/>
      <c r="F66" s="373"/>
      <c r="G66" s="373"/>
      <c r="H66" s="17">
        <f>H45*H65</f>
        <v>3.3599999999999998E-4</v>
      </c>
      <c r="I66" s="5">
        <f>H66*I28</f>
        <v>0.36119999999999997</v>
      </c>
      <c r="J66" s="48"/>
    </row>
    <row r="67" spans="1:11" x14ac:dyDescent="0.2">
      <c r="A67" s="345" t="s">
        <v>5</v>
      </c>
      <c r="B67" s="373" t="s">
        <v>65</v>
      </c>
      <c r="C67" s="373"/>
      <c r="D67" s="373"/>
      <c r="E67" s="373"/>
      <c r="F67" s="373"/>
      <c r="G67" s="373"/>
      <c r="H67" s="18">
        <v>0.01</v>
      </c>
      <c r="I67" s="5">
        <f>$I$28*H67</f>
        <v>10.75</v>
      </c>
      <c r="J67" s="48"/>
    </row>
    <row r="68" spans="1:11" x14ac:dyDescent="0.2">
      <c r="A68" s="345" t="s">
        <v>7</v>
      </c>
      <c r="B68" s="373" t="s">
        <v>66</v>
      </c>
      <c r="C68" s="373"/>
      <c r="D68" s="373"/>
      <c r="E68" s="373"/>
      <c r="F68" s="373"/>
      <c r="G68" s="373"/>
      <c r="H68" s="46">
        <v>1.9400000000000001E-2</v>
      </c>
      <c r="I68" s="5">
        <f>$I$28*H68</f>
        <v>20.855</v>
      </c>
      <c r="J68" s="48"/>
    </row>
    <row r="69" spans="1:11" x14ac:dyDescent="0.2">
      <c r="A69" s="345" t="s">
        <v>27</v>
      </c>
      <c r="B69" s="373" t="s">
        <v>67</v>
      </c>
      <c r="C69" s="373"/>
      <c r="D69" s="373"/>
      <c r="E69" s="373"/>
      <c r="F69" s="373"/>
      <c r="G69" s="373"/>
      <c r="H69" s="19">
        <f>H46*H68</f>
        <v>6.947140000000001E-3</v>
      </c>
      <c r="I69" s="5">
        <f>$I$28*H69</f>
        <v>7.468175500000001</v>
      </c>
      <c r="J69" s="48"/>
    </row>
    <row r="70" spans="1:11" x14ac:dyDescent="0.2">
      <c r="A70" s="345" t="s">
        <v>29</v>
      </c>
      <c r="B70" s="373" t="s">
        <v>68</v>
      </c>
      <c r="C70" s="373"/>
      <c r="D70" s="373"/>
      <c r="E70" s="373"/>
      <c r="F70" s="373"/>
      <c r="G70" s="373"/>
      <c r="H70" s="54">
        <v>2.1999999999999999E-2</v>
      </c>
      <c r="I70" s="5">
        <f>$I$28*H70</f>
        <v>23.65</v>
      </c>
      <c r="J70" s="48"/>
      <c r="K70" s="20"/>
    </row>
    <row r="71" spans="1:11" x14ac:dyDescent="0.2">
      <c r="A71" s="389" t="s">
        <v>69</v>
      </c>
      <c r="B71" s="389"/>
      <c r="C71" s="389"/>
      <c r="D71" s="389"/>
      <c r="E71" s="389"/>
      <c r="F71" s="389"/>
      <c r="G71" s="389"/>
      <c r="H71" s="12">
        <f>TRUNC(SUM(H65:H70),4)</f>
        <v>6.2799999999999995E-2</v>
      </c>
      <c r="I71" s="13">
        <f>(SUM(I65:I70))</f>
        <v>67.599375500000008</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345" t="s">
        <v>21</v>
      </c>
      <c r="I74" s="345" t="s">
        <v>22</v>
      </c>
      <c r="J74" s="48"/>
    </row>
    <row r="75" spans="1:11" x14ac:dyDescent="0.2">
      <c r="A75" s="345" t="s">
        <v>1</v>
      </c>
      <c r="B75" s="373" t="s">
        <v>186</v>
      </c>
      <c r="C75" s="373"/>
      <c r="D75" s="373"/>
      <c r="E75" s="373"/>
      <c r="F75" s="373"/>
      <c r="G75" s="373"/>
      <c r="H75" s="148">
        <v>8.3299999999999999E-2</v>
      </c>
      <c r="I75" s="5">
        <f t="shared" ref="I75:I80" si="1">$I$28*H75</f>
        <v>89.547499999999999</v>
      </c>
      <c r="J75" s="48"/>
    </row>
    <row r="76" spans="1:11" x14ac:dyDescent="0.2">
      <c r="A76" s="345" t="s">
        <v>3</v>
      </c>
      <c r="B76" s="373" t="s">
        <v>187</v>
      </c>
      <c r="C76" s="373"/>
      <c r="D76" s="373"/>
      <c r="E76" s="373"/>
      <c r="F76" s="373"/>
      <c r="G76" s="373"/>
      <c r="H76" s="148">
        <v>2.8E-3</v>
      </c>
      <c r="I76" s="16">
        <f t="shared" si="1"/>
        <v>3.01</v>
      </c>
      <c r="J76" s="48"/>
    </row>
    <row r="77" spans="1:11" x14ac:dyDescent="0.2">
      <c r="A77" s="345" t="s">
        <v>5</v>
      </c>
      <c r="B77" s="373" t="s">
        <v>188</v>
      </c>
      <c r="C77" s="373"/>
      <c r="D77" s="373"/>
      <c r="E77" s="373"/>
      <c r="F77" s="373"/>
      <c r="G77" s="373"/>
      <c r="H77" s="17">
        <v>2.0000000000000001E-4</v>
      </c>
      <c r="I77" s="16">
        <f t="shared" si="1"/>
        <v>0.215</v>
      </c>
      <c r="J77" s="48"/>
    </row>
    <row r="78" spans="1:11" x14ac:dyDescent="0.2">
      <c r="A78" s="345" t="s">
        <v>7</v>
      </c>
      <c r="B78" s="373" t="s">
        <v>189</v>
      </c>
      <c r="C78" s="373"/>
      <c r="D78" s="373"/>
      <c r="E78" s="373"/>
      <c r="F78" s="373"/>
      <c r="G78" s="373"/>
      <c r="H78" s="148">
        <v>2.9999999999999997E-4</v>
      </c>
      <c r="I78" s="16">
        <f t="shared" si="1"/>
        <v>0.32249999999999995</v>
      </c>
      <c r="J78" s="48"/>
    </row>
    <row r="79" spans="1:11" x14ac:dyDescent="0.2">
      <c r="A79" s="345" t="s">
        <v>27</v>
      </c>
      <c r="B79" s="373" t="s">
        <v>190</v>
      </c>
      <c r="C79" s="373"/>
      <c r="D79" s="373"/>
      <c r="E79" s="373"/>
      <c r="F79" s="373"/>
      <c r="G79" s="373"/>
      <c r="H79" s="17">
        <v>6.9999999999999999E-4</v>
      </c>
      <c r="I79" s="16">
        <f t="shared" si="1"/>
        <v>0.75249999999999995</v>
      </c>
      <c r="J79" s="48"/>
    </row>
    <row r="80" spans="1:11" x14ac:dyDescent="0.2">
      <c r="A80" s="345"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93.847500000000011</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345" t="s">
        <v>21</v>
      </c>
      <c r="I83" s="345" t="s">
        <v>22</v>
      </c>
      <c r="J83" s="48"/>
    </row>
    <row r="84" spans="1:10" x14ac:dyDescent="0.2">
      <c r="A84" s="345"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345" t="s">
        <v>22</v>
      </c>
      <c r="J88" s="48"/>
    </row>
    <row r="89" spans="1:10" x14ac:dyDescent="0.2">
      <c r="A89" s="345" t="s">
        <v>77</v>
      </c>
      <c r="B89" s="370" t="s">
        <v>193</v>
      </c>
      <c r="C89" s="370"/>
      <c r="D89" s="370"/>
      <c r="E89" s="370"/>
      <c r="F89" s="370"/>
      <c r="G89" s="370"/>
      <c r="H89" s="370"/>
      <c r="I89" s="16">
        <f>I81</f>
        <v>93.847500000000011</v>
      </c>
      <c r="J89" s="48"/>
    </row>
    <row r="90" spans="1:10" x14ac:dyDescent="0.2">
      <c r="A90" s="345" t="s">
        <v>78</v>
      </c>
      <c r="B90" s="370" t="s">
        <v>194</v>
      </c>
      <c r="C90" s="370"/>
      <c r="D90" s="370"/>
      <c r="E90" s="370"/>
      <c r="F90" s="370"/>
      <c r="G90" s="370"/>
      <c r="H90" s="370"/>
      <c r="I90" s="16">
        <f>I85</f>
        <v>0</v>
      </c>
      <c r="J90" s="48"/>
    </row>
    <row r="91" spans="1:10" x14ac:dyDescent="0.2">
      <c r="A91" s="345" t="s">
        <v>46</v>
      </c>
      <c r="B91" s="370" t="s">
        <v>195</v>
      </c>
      <c r="C91" s="370"/>
      <c r="D91" s="370"/>
      <c r="E91" s="370"/>
      <c r="F91" s="370"/>
      <c r="G91" s="370"/>
      <c r="H91" s="370"/>
      <c r="I91" s="16">
        <f>(H81*H46)*I89</f>
        <v>2.9338727451750009</v>
      </c>
      <c r="J91" s="48"/>
    </row>
    <row r="92" spans="1:10" x14ac:dyDescent="0.2">
      <c r="A92" s="389" t="s">
        <v>79</v>
      </c>
      <c r="B92" s="389"/>
      <c r="C92" s="389"/>
      <c r="D92" s="389"/>
      <c r="E92" s="389"/>
      <c r="F92" s="389"/>
      <c r="G92" s="389"/>
      <c r="H92" s="389"/>
      <c r="I92" s="13">
        <f>(SUM(I89:I90))</f>
        <v>93.847500000000011</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345">
        <v>5</v>
      </c>
      <c r="B95" s="389" t="s">
        <v>81</v>
      </c>
      <c r="C95" s="389"/>
      <c r="D95" s="389"/>
      <c r="E95" s="389"/>
      <c r="F95" s="389"/>
      <c r="G95" s="389"/>
      <c r="H95" s="345"/>
      <c r="I95" s="345" t="s">
        <v>22</v>
      </c>
      <c r="J95" s="48"/>
    </row>
    <row r="96" spans="1:10" x14ac:dyDescent="0.2">
      <c r="A96" s="345" t="s">
        <v>1</v>
      </c>
      <c r="B96" s="393" t="s">
        <v>82</v>
      </c>
      <c r="C96" s="393"/>
      <c r="D96" s="393"/>
      <c r="E96" s="393"/>
      <c r="F96" s="393"/>
      <c r="G96" s="393"/>
      <c r="H96" s="340" t="s">
        <v>50</v>
      </c>
      <c r="I96" s="66">
        <f>UNIFORME!F10</f>
        <v>28.666666666666668</v>
      </c>
      <c r="J96" s="48"/>
    </row>
    <row r="97" spans="1:13" x14ac:dyDescent="0.2">
      <c r="A97" s="345" t="s">
        <v>3</v>
      </c>
      <c r="B97" s="393" t="s">
        <v>83</v>
      </c>
      <c r="C97" s="393"/>
      <c r="D97" s="393"/>
      <c r="E97" s="393"/>
      <c r="F97" s="393"/>
      <c r="G97" s="393"/>
      <c r="H97" s="340" t="s">
        <v>50</v>
      </c>
      <c r="I97" s="16">
        <f>'MAT MUT 02'!G19</f>
        <v>81.7</v>
      </c>
      <c r="J97" s="48"/>
    </row>
    <row r="98" spans="1:13" x14ac:dyDescent="0.2">
      <c r="A98" s="21" t="s">
        <v>5</v>
      </c>
      <c r="B98" s="393" t="s">
        <v>84</v>
      </c>
      <c r="C98" s="393"/>
      <c r="D98" s="393"/>
      <c r="E98" s="393"/>
      <c r="F98" s="393"/>
      <c r="G98" s="393"/>
      <c r="H98" s="340" t="s">
        <v>50</v>
      </c>
      <c r="I98" s="16">
        <f>'MAT MUT 02'!G32</f>
        <v>68.125</v>
      </c>
      <c r="J98" s="48"/>
    </row>
    <row r="99" spans="1:13" x14ac:dyDescent="0.2">
      <c r="A99" s="21" t="s">
        <v>7</v>
      </c>
      <c r="B99" s="393" t="s">
        <v>166</v>
      </c>
      <c r="C99" s="393"/>
      <c r="D99" s="393"/>
      <c r="E99" s="393"/>
      <c r="F99" s="393"/>
      <c r="G99" s="393"/>
      <c r="H99" s="340" t="s">
        <v>50</v>
      </c>
      <c r="I99" s="16">
        <v>50</v>
      </c>
      <c r="J99" s="48"/>
    </row>
    <row r="100" spans="1:13" x14ac:dyDescent="0.2">
      <c r="A100" s="389" t="s">
        <v>85</v>
      </c>
      <c r="B100" s="389"/>
      <c r="C100" s="389"/>
      <c r="D100" s="389"/>
      <c r="E100" s="389"/>
      <c r="F100" s="389"/>
      <c r="G100" s="389"/>
      <c r="H100" s="12" t="s">
        <v>50</v>
      </c>
      <c r="I100" s="13">
        <f>(SUM(I96:I99))</f>
        <v>228.49166666666667</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345">
        <v>6</v>
      </c>
      <c r="B103" s="389" t="s">
        <v>87</v>
      </c>
      <c r="C103" s="389"/>
      <c r="D103" s="389"/>
      <c r="E103" s="389"/>
      <c r="F103" s="389"/>
      <c r="G103" s="389"/>
      <c r="H103" s="345" t="s">
        <v>21</v>
      </c>
      <c r="I103" s="345" t="s">
        <v>22</v>
      </c>
      <c r="J103" s="48"/>
      <c r="K103" s="52">
        <f>'ANEXO VII'!M57</f>
        <v>197.15170301310718</v>
      </c>
    </row>
    <row r="104" spans="1:13" x14ac:dyDescent="0.2">
      <c r="A104" s="345" t="s">
        <v>1</v>
      </c>
      <c r="B104" s="373" t="s">
        <v>88</v>
      </c>
      <c r="C104" s="373"/>
      <c r="D104" s="373"/>
      <c r="E104" s="373"/>
      <c r="F104" s="373"/>
      <c r="G104" s="373"/>
      <c r="H104" s="22">
        <v>5.21E-2</v>
      </c>
      <c r="I104" s="16">
        <f>I120*H104</f>
        <v>127.67612039370833</v>
      </c>
      <c r="J104" s="48"/>
      <c r="M104" s="52"/>
    </row>
    <row r="105" spans="1:13" x14ac:dyDescent="0.2">
      <c r="A105" s="345" t="s">
        <v>3</v>
      </c>
      <c r="B105" s="373" t="s">
        <v>89</v>
      </c>
      <c r="C105" s="373"/>
      <c r="D105" s="373"/>
      <c r="E105" s="373"/>
      <c r="F105" s="373"/>
      <c r="G105" s="373"/>
      <c r="H105" s="22">
        <v>0.05</v>
      </c>
      <c r="I105" s="16">
        <f>(I120+I104)*H105</f>
        <v>128.91367204051878</v>
      </c>
      <c r="J105" s="48"/>
    </row>
    <row r="106" spans="1:13" x14ac:dyDescent="0.2">
      <c r="A106" s="345" t="s">
        <v>5</v>
      </c>
      <c r="B106" s="392" t="s">
        <v>90</v>
      </c>
      <c r="C106" s="392"/>
      <c r="D106" s="392"/>
      <c r="E106" s="392"/>
      <c r="F106" s="392"/>
      <c r="G106" s="392"/>
      <c r="H106" s="23">
        <f>H107+H108+H109</f>
        <v>8.6499999999999994E-2</v>
      </c>
      <c r="I106" s="24"/>
      <c r="J106" s="48"/>
    </row>
    <row r="107" spans="1:13" x14ac:dyDescent="0.2">
      <c r="A107" s="345" t="s">
        <v>91</v>
      </c>
      <c r="B107" s="373" t="s">
        <v>92</v>
      </c>
      <c r="C107" s="373"/>
      <c r="D107" s="373"/>
      <c r="E107" s="373"/>
      <c r="F107" s="373"/>
      <c r="G107" s="373"/>
      <c r="H107" s="25">
        <v>6.4999999999999997E-3</v>
      </c>
      <c r="I107" s="16">
        <f>K110*H107</f>
        <v>19.262962488813148</v>
      </c>
      <c r="J107" s="48"/>
      <c r="K107" s="65">
        <f>1-H106</f>
        <v>0.91349999999999998</v>
      </c>
    </row>
    <row r="108" spans="1:13" x14ac:dyDescent="0.2">
      <c r="A108" s="345" t="s">
        <v>93</v>
      </c>
      <c r="B108" s="373" t="s">
        <v>94</v>
      </c>
      <c r="C108" s="373"/>
      <c r="D108" s="373"/>
      <c r="E108" s="373"/>
      <c r="F108" s="373"/>
      <c r="G108" s="373"/>
      <c r="H108" s="25">
        <v>0.03</v>
      </c>
      <c r="I108" s="16">
        <f>K110*H108</f>
        <v>88.905980717599135</v>
      </c>
      <c r="J108" s="48"/>
      <c r="K108" s="45">
        <f>K107/1</f>
        <v>0.91349999999999998</v>
      </c>
    </row>
    <row r="109" spans="1:13" x14ac:dyDescent="0.2">
      <c r="A109" s="345" t="s">
        <v>95</v>
      </c>
      <c r="B109" s="373" t="s">
        <v>96</v>
      </c>
      <c r="C109" s="373"/>
      <c r="D109" s="373"/>
      <c r="E109" s="373"/>
      <c r="F109" s="373"/>
      <c r="G109" s="373"/>
      <c r="H109" s="26">
        <v>0.05</v>
      </c>
      <c r="I109" s="16">
        <f>K110*H109</f>
        <v>148.17663452933192</v>
      </c>
      <c r="J109" s="48"/>
      <c r="K109" s="20">
        <f>I120+I104+I105</f>
        <v>2707.1871128508938</v>
      </c>
    </row>
    <row r="110" spans="1:13" x14ac:dyDescent="0.2">
      <c r="A110" s="389" t="s">
        <v>97</v>
      </c>
      <c r="B110" s="389"/>
      <c r="C110" s="389"/>
      <c r="D110" s="389"/>
      <c r="E110" s="389"/>
      <c r="F110" s="389"/>
      <c r="G110" s="389"/>
      <c r="H110" s="25">
        <f>SUM(H104+H105+H106)</f>
        <v>0.18859999999999999</v>
      </c>
      <c r="I110" s="13">
        <f>(SUM(I104:I109))</f>
        <v>512.93537016997129</v>
      </c>
      <c r="J110" s="48"/>
      <c r="K110" s="20">
        <f>K109/K108</f>
        <v>2963.5326905866382</v>
      </c>
    </row>
    <row r="111" spans="1:13" x14ac:dyDescent="0.2">
      <c r="A111" s="342"/>
      <c r="B111" s="390"/>
      <c r="C111" s="390"/>
      <c r="D111" s="390"/>
      <c r="E111" s="390"/>
      <c r="F111" s="390"/>
      <c r="G111" s="390"/>
      <c r="H111" s="390"/>
      <c r="I111" s="390"/>
    </row>
    <row r="112" spans="1:13" x14ac:dyDescent="0.2">
      <c r="A112" s="342"/>
      <c r="B112" s="342"/>
      <c r="C112" s="342"/>
      <c r="D112" s="342"/>
      <c r="E112" s="342"/>
      <c r="F112" s="342"/>
      <c r="G112" s="342"/>
      <c r="H112" s="342"/>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345" t="s">
        <v>22</v>
      </c>
    </row>
    <row r="115" spans="1:12" x14ac:dyDescent="0.2">
      <c r="A115" s="340" t="s">
        <v>1</v>
      </c>
      <c r="B115" s="373" t="str">
        <f>A19</f>
        <v>MÓDULO 1 - COMPOSIÇÃO DA REMUNERAÇÃO</v>
      </c>
      <c r="C115" s="373"/>
      <c r="D115" s="373"/>
      <c r="E115" s="373"/>
      <c r="F115" s="373"/>
      <c r="G115" s="373"/>
      <c r="H115" s="373"/>
      <c r="I115" s="16">
        <f>I28</f>
        <v>1075</v>
      </c>
      <c r="K115" s="20"/>
      <c r="L115" s="53"/>
    </row>
    <row r="116" spans="1:12" x14ac:dyDescent="0.2">
      <c r="A116" s="340" t="s">
        <v>3</v>
      </c>
      <c r="B116" s="373" t="str">
        <f>A30</f>
        <v>MÓDULO 2 – ENCARGOS E BENEFÍCIOS ANUAIS, MENSAIS E DIÁRIOS</v>
      </c>
      <c r="C116" s="373"/>
      <c r="D116" s="373"/>
      <c r="E116" s="373"/>
      <c r="F116" s="373"/>
      <c r="G116" s="373"/>
      <c r="H116" s="373"/>
      <c r="I116" s="16">
        <f>I61</f>
        <v>985.65877824999995</v>
      </c>
    </row>
    <row r="117" spans="1:12" x14ac:dyDescent="0.2">
      <c r="A117" s="340" t="s">
        <v>5</v>
      </c>
      <c r="B117" s="373" t="str">
        <f>A63</f>
        <v>MÓDULO 3 – PROVISÃO PARA RESCISÃO</v>
      </c>
      <c r="C117" s="373"/>
      <c r="D117" s="373"/>
      <c r="E117" s="373"/>
      <c r="F117" s="373"/>
      <c r="G117" s="373"/>
      <c r="H117" s="373"/>
      <c r="I117" s="16">
        <f>I71</f>
        <v>67.599375500000008</v>
      </c>
    </row>
    <row r="118" spans="1:12" x14ac:dyDescent="0.2">
      <c r="A118" s="340" t="s">
        <v>7</v>
      </c>
      <c r="B118" s="373" t="str">
        <f>A73</f>
        <v>MÓDULO 4 – CUSTO DE REPOSIÇÃO DO PROFISSIONAL AUSENTE</v>
      </c>
      <c r="C118" s="373"/>
      <c r="D118" s="373"/>
      <c r="E118" s="373"/>
      <c r="F118" s="373"/>
      <c r="G118" s="373"/>
      <c r="H118" s="373"/>
      <c r="I118" s="16">
        <f>I92</f>
        <v>93.847500000000011</v>
      </c>
    </row>
    <row r="119" spans="1:12" x14ac:dyDescent="0.2">
      <c r="A119" s="340" t="s">
        <v>27</v>
      </c>
      <c r="B119" s="373" t="str">
        <f>A94</f>
        <v>MÓDULO 5 – INSUMOS DIVERSOS</v>
      </c>
      <c r="C119" s="373"/>
      <c r="D119" s="373"/>
      <c r="E119" s="373"/>
      <c r="F119" s="373"/>
      <c r="G119" s="373"/>
      <c r="H119" s="373"/>
      <c r="I119" s="16">
        <f>I100</f>
        <v>228.49166666666667</v>
      </c>
    </row>
    <row r="120" spans="1:12" x14ac:dyDescent="0.2">
      <c r="A120" s="345"/>
      <c r="B120" s="389" t="s">
        <v>100</v>
      </c>
      <c r="C120" s="389"/>
      <c r="D120" s="389"/>
      <c r="E120" s="389"/>
      <c r="F120" s="389"/>
      <c r="G120" s="389"/>
      <c r="H120" s="389"/>
      <c r="I120" s="13">
        <f>(SUM(I115:I119))</f>
        <v>2450.5973204166667</v>
      </c>
    </row>
    <row r="121" spans="1:12" x14ac:dyDescent="0.2">
      <c r="A121" s="340" t="s">
        <v>29</v>
      </c>
      <c r="B121" s="373" t="str">
        <f>A102</f>
        <v>MÓDULO 6 – CUSTOS INDIRETOS, TRIBUTOS E LUCRO</v>
      </c>
      <c r="C121" s="373"/>
      <c r="D121" s="373"/>
      <c r="E121" s="373"/>
      <c r="F121" s="373"/>
      <c r="G121" s="373"/>
      <c r="H121" s="373"/>
      <c r="I121" s="5">
        <f>I110</f>
        <v>512.93537016997129</v>
      </c>
    </row>
    <row r="122" spans="1:12" x14ac:dyDescent="0.2">
      <c r="A122" s="389" t="s">
        <v>101</v>
      </c>
      <c r="B122" s="389"/>
      <c r="C122" s="389"/>
      <c r="D122" s="389"/>
      <c r="E122" s="389"/>
      <c r="F122" s="389"/>
      <c r="G122" s="389"/>
      <c r="H122" s="389"/>
      <c r="I122" s="13">
        <f>(SUM(I120:I121))</f>
        <v>2963.5326905866377</v>
      </c>
      <c r="K122" s="350"/>
    </row>
    <row r="123" spans="1:12" x14ac:dyDescent="0.2">
      <c r="I123" s="20"/>
      <c r="K123" s="350"/>
    </row>
    <row r="124" spans="1:12" hidden="1" x14ac:dyDescent="0.2">
      <c r="A124" s="342"/>
      <c r="B124" s="379" t="s">
        <v>102</v>
      </c>
      <c r="C124" s="379"/>
      <c r="D124" s="379"/>
      <c r="E124" s="379"/>
      <c r="F124" s="379"/>
      <c r="G124" s="379"/>
      <c r="H124" s="8"/>
      <c r="I124" s="8"/>
      <c r="K124" s="350"/>
    </row>
    <row r="125" spans="1:12" ht="40.5" hidden="1" customHeight="1" x14ac:dyDescent="0.2">
      <c r="A125" s="385" t="s">
        <v>103</v>
      </c>
      <c r="B125" s="385"/>
      <c r="C125" s="385" t="s">
        <v>104</v>
      </c>
      <c r="D125" s="385"/>
      <c r="E125" s="385" t="s">
        <v>105</v>
      </c>
      <c r="F125" s="385"/>
      <c r="G125" s="28" t="s">
        <v>106</v>
      </c>
      <c r="H125" s="344" t="s">
        <v>107</v>
      </c>
      <c r="I125" s="343"/>
      <c r="K125" s="350"/>
    </row>
    <row r="126" spans="1:12" hidden="1" x14ac:dyDescent="0.2">
      <c r="A126" s="386" t="s">
        <v>108</v>
      </c>
      <c r="B126" s="386"/>
      <c r="C126" s="387" t="s">
        <v>109</v>
      </c>
      <c r="D126" s="387"/>
      <c r="E126" s="388"/>
      <c r="F126" s="388"/>
      <c r="G126" s="29" t="s">
        <v>109</v>
      </c>
      <c r="H126" s="30"/>
      <c r="I126" s="31"/>
      <c r="K126" s="350"/>
    </row>
    <row r="127" spans="1:12" hidden="1" x14ac:dyDescent="0.2">
      <c r="A127" s="381" t="s">
        <v>110</v>
      </c>
      <c r="B127" s="381"/>
      <c r="C127" s="382" t="s">
        <v>109</v>
      </c>
      <c r="D127" s="382"/>
      <c r="E127" s="383"/>
      <c r="F127" s="383"/>
      <c r="G127" s="32" t="s">
        <v>109</v>
      </c>
      <c r="H127" s="33"/>
      <c r="I127" s="34"/>
      <c r="K127" s="350"/>
    </row>
    <row r="128" spans="1:12" hidden="1" x14ac:dyDescent="0.2">
      <c r="A128" s="381" t="s">
        <v>111</v>
      </c>
      <c r="B128" s="381"/>
      <c r="C128" s="382" t="s">
        <v>109</v>
      </c>
      <c r="D128" s="382"/>
      <c r="E128" s="383"/>
      <c r="F128" s="383"/>
      <c r="G128" s="32" t="s">
        <v>109</v>
      </c>
      <c r="H128" s="33"/>
      <c r="I128" s="34"/>
      <c r="K128" s="350"/>
    </row>
    <row r="129" spans="1:11" hidden="1" x14ac:dyDescent="0.2">
      <c r="A129" s="381" t="s">
        <v>112</v>
      </c>
      <c r="B129" s="381"/>
      <c r="C129" s="382" t="s">
        <v>109</v>
      </c>
      <c r="D129" s="382"/>
      <c r="E129" s="383"/>
      <c r="F129" s="383"/>
      <c r="G129" s="32" t="s">
        <v>109</v>
      </c>
      <c r="H129" s="33"/>
      <c r="I129" s="34"/>
      <c r="K129" s="350"/>
    </row>
    <row r="130" spans="1:11" hidden="1" x14ac:dyDescent="0.2">
      <c r="A130" s="384"/>
      <c r="B130" s="384"/>
      <c r="C130" s="383"/>
      <c r="D130" s="383"/>
      <c r="E130" s="383"/>
      <c r="F130" s="383"/>
      <c r="G130" s="35"/>
      <c r="H130" s="36"/>
      <c r="I130" s="34"/>
      <c r="K130" s="350"/>
    </row>
    <row r="131" spans="1:11" ht="13.5" hidden="1" thickBot="1" x14ac:dyDescent="0.25">
      <c r="A131" s="376"/>
      <c r="B131" s="376"/>
      <c r="C131" s="377"/>
      <c r="D131" s="377"/>
      <c r="E131" s="377"/>
      <c r="F131" s="377"/>
      <c r="G131" s="37"/>
      <c r="H131" s="38"/>
      <c r="I131" s="39"/>
      <c r="K131" s="350"/>
    </row>
    <row r="132" spans="1:11" ht="13.5" hidden="1" thickBot="1" x14ac:dyDescent="0.25">
      <c r="A132" s="378" t="s">
        <v>113</v>
      </c>
      <c r="B132" s="378"/>
      <c r="C132" s="378"/>
      <c r="D132" s="378"/>
      <c r="E132" s="378"/>
      <c r="F132" s="378"/>
      <c r="G132" s="378"/>
      <c r="H132" s="378"/>
      <c r="I132" s="40"/>
      <c r="K132" s="350"/>
    </row>
    <row r="133" spans="1:11" x14ac:dyDescent="0.2">
      <c r="I133" s="20"/>
    </row>
    <row r="134" spans="1:11" hidden="1" x14ac:dyDescent="0.2">
      <c r="A134" s="342"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341"/>
      <c r="B136" s="371" t="s">
        <v>117</v>
      </c>
      <c r="C136" s="371"/>
      <c r="D136" s="371"/>
      <c r="E136" s="371"/>
      <c r="F136" s="371"/>
      <c r="G136" s="371"/>
      <c r="H136" s="371"/>
      <c r="I136" s="343" t="s">
        <v>22</v>
      </c>
    </row>
    <row r="137" spans="1:11" hidden="1" x14ac:dyDescent="0.2">
      <c r="A137" s="41" t="s">
        <v>1</v>
      </c>
      <c r="B137" s="372" t="s">
        <v>118</v>
      </c>
      <c r="C137" s="372"/>
      <c r="D137" s="372"/>
      <c r="E137" s="372"/>
      <c r="F137" s="372"/>
      <c r="G137" s="372"/>
      <c r="H137" s="372"/>
      <c r="I137" s="42">
        <f>I107</f>
        <v>19.262962488813148</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512.93537016997129</v>
      </c>
    </row>
    <row r="140" spans="1:11" ht="13.5" hidden="1" thickBot="1" x14ac:dyDescent="0.25">
      <c r="A140" s="375" t="s">
        <v>121</v>
      </c>
      <c r="B140" s="375"/>
      <c r="C140" s="375"/>
      <c r="D140" s="375"/>
      <c r="E140" s="375"/>
      <c r="F140" s="375"/>
      <c r="G140" s="375"/>
      <c r="H140" s="375"/>
      <c r="I140" s="40" t="e">
        <f>SUM(I137:I139)</f>
        <v>#REF!</v>
      </c>
    </row>
    <row r="141" spans="1:11" hidden="1" x14ac:dyDescent="0.2">
      <c r="A141" s="342" t="s">
        <v>122</v>
      </c>
      <c r="B141" s="45" t="s">
        <v>123</v>
      </c>
    </row>
  </sheetData>
  <mergeCells count="171">
    <mergeCell ref="B4:H4"/>
    <mergeCell ref="L4:M4"/>
    <mergeCell ref="N4:Q4"/>
    <mergeCell ref="R4:S4"/>
    <mergeCell ref="B5:H5"/>
    <mergeCell ref="K5:S5"/>
    <mergeCell ref="A2:I2"/>
    <mergeCell ref="K2:S2"/>
    <mergeCell ref="B3:H3"/>
    <mergeCell ref="L3:M3"/>
    <mergeCell ref="N3:Q3"/>
    <mergeCell ref="R3:S3"/>
    <mergeCell ref="A10:B10"/>
    <mergeCell ref="C10:D10"/>
    <mergeCell ref="E10:I10"/>
    <mergeCell ref="L10:Q10"/>
    <mergeCell ref="R10:S10"/>
    <mergeCell ref="L11:Q11"/>
    <mergeCell ref="R11:S11"/>
    <mergeCell ref="B6:H6"/>
    <mergeCell ref="K6:S6"/>
    <mergeCell ref="K7:S7"/>
    <mergeCell ref="A8:I8"/>
    <mergeCell ref="K8:S8"/>
    <mergeCell ref="A9:B9"/>
    <mergeCell ref="C9:D9"/>
    <mergeCell ref="E9:I9"/>
    <mergeCell ref="L9:Q9"/>
    <mergeCell ref="R9:S9"/>
    <mergeCell ref="B16:H16"/>
    <mergeCell ref="B17:H17"/>
    <mergeCell ref="A18:I18"/>
    <mergeCell ref="A19:I19"/>
    <mergeCell ref="B20:G20"/>
    <mergeCell ref="B21:G21"/>
    <mergeCell ref="A12:I12"/>
    <mergeCell ref="L12:Q12"/>
    <mergeCell ref="R12:S12"/>
    <mergeCell ref="B13:H13"/>
    <mergeCell ref="B14:H14"/>
    <mergeCell ref="B15:H15"/>
    <mergeCell ref="A28:H28"/>
    <mergeCell ref="A30:I30"/>
    <mergeCell ref="A31:G31"/>
    <mergeCell ref="B32:G32"/>
    <mergeCell ref="B33:G33"/>
    <mergeCell ref="B34:G34"/>
    <mergeCell ref="B22:G22"/>
    <mergeCell ref="B23:G23"/>
    <mergeCell ref="B24:G24"/>
    <mergeCell ref="B25:G25"/>
    <mergeCell ref="B26:G26"/>
    <mergeCell ref="B27:G27"/>
    <mergeCell ref="A35:G35"/>
    <mergeCell ref="A36:I36"/>
    <mergeCell ref="A37:G37"/>
    <mergeCell ref="K37:K45"/>
    <mergeCell ref="B38:G38"/>
    <mergeCell ref="B39:G39"/>
    <mergeCell ref="B40:G40"/>
    <mergeCell ref="B41:G41"/>
    <mergeCell ref="B42:G42"/>
    <mergeCell ref="B43:G43"/>
    <mergeCell ref="B50:G50"/>
    <mergeCell ref="B51:G51"/>
    <mergeCell ref="B52:G52"/>
    <mergeCell ref="B53:G53"/>
    <mergeCell ref="A54:H54"/>
    <mergeCell ref="A55:I55"/>
    <mergeCell ref="B44:G44"/>
    <mergeCell ref="B45:G45"/>
    <mergeCell ref="A46:G46"/>
    <mergeCell ref="A47:I47"/>
    <mergeCell ref="A48:G48"/>
    <mergeCell ref="B49:G49"/>
    <mergeCell ref="A62:I62"/>
    <mergeCell ref="A63:I63"/>
    <mergeCell ref="B64:G64"/>
    <mergeCell ref="B65:G65"/>
    <mergeCell ref="B66:G66"/>
    <mergeCell ref="B67:G67"/>
    <mergeCell ref="A56:I56"/>
    <mergeCell ref="A57:H57"/>
    <mergeCell ref="B58:H58"/>
    <mergeCell ref="B59:H59"/>
    <mergeCell ref="B60:H60"/>
    <mergeCell ref="A61:H61"/>
    <mergeCell ref="A74:G74"/>
    <mergeCell ref="B75:G75"/>
    <mergeCell ref="B76:G76"/>
    <mergeCell ref="B77:G77"/>
    <mergeCell ref="B78:G78"/>
    <mergeCell ref="B79:G79"/>
    <mergeCell ref="B68:G68"/>
    <mergeCell ref="B69:G69"/>
    <mergeCell ref="B70:G70"/>
    <mergeCell ref="A71:G71"/>
    <mergeCell ref="A72:I72"/>
    <mergeCell ref="A73:I73"/>
    <mergeCell ref="A86:I86"/>
    <mergeCell ref="A87:I87"/>
    <mergeCell ref="A88:H88"/>
    <mergeCell ref="B89:H89"/>
    <mergeCell ref="B90:H90"/>
    <mergeCell ref="B91:H91"/>
    <mergeCell ref="B80:G80"/>
    <mergeCell ref="A81:G81"/>
    <mergeCell ref="A82:I82"/>
    <mergeCell ref="A83:G83"/>
    <mergeCell ref="B84:G84"/>
    <mergeCell ref="A85:G85"/>
    <mergeCell ref="B98:G98"/>
    <mergeCell ref="B99:G99"/>
    <mergeCell ref="A100:G100"/>
    <mergeCell ref="A101:I101"/>
    <mergeCell ref="A102:I102"/>
    <mergeCell ref="B103:G103"/>
    <mergeCell ref="A92:H92"/>
    <mergeCell ref="A93:I93"/>
    <mergeCell ref="A94:I94"/>
    <mergeCell ref="B95:G95"/>
    <mergeCell ref="B96:G96"/>
    <mergeCell ref="B97:G97"/>
    <mergeCell ref="A110:G110"/>
    <mergeCell ref="B111:I111"/>
    <mergeCell ref="A113:I113"/>
    <mergeCell ref="A114:H114"/>
    <mergeCell ref="B115:H115"/>
    <mergeCell ref="B116:H116"/>
    <mergeCell ref="B104:G104"/>
    <mergeCell ref="B105:G105"/>
    <mergeCell ref="B106:G106"/>
    <mergeCell ref="B107:G107"/>
    <mergeCell ref="B108:G108"/>
    <mergeCell ref="B109:G109"/>
    <mergeCell ref="B124:G124"/>
    <mergeCell ref="A125:B125"/>
    <mergeCell ref="C125:D125"/>
    <mergeCell ref="E125:F125"/>
    <mergeCell ref="A126:B126"/>
    <mergeCell ref="C126:D126"/>
    <mergeCell ref="E126:F126"/>
    <mergeCell ref="B117:H117"/>
    <mergeCell ref="B118:H118"/>
    <mergeCell ref="B119:H119"/>
    <mergeCell ref="B120:H120"/>
    <mergeCell ref="B121:H121"/>
    <mergeCell ref="A122:H122"/>
    <mergeCell ref="A129:B129"/>
    <mergeCell ref="C129:D129"/>
    <mergeCell ref="E129:F129"/>
    <mergeCell ref="A130:B130"/>
    <mergeCell ref="C130:D130"/>
    <mergeCell ref="E130:F130"/>
    <mergeCell ref="A127:B127"/>
    <mergeCell ref="C127:D127"/>
    <mergeCell ref="E127:F127"/>
    <mergeCell ref="A128:B128"/>
    <mergeCell ref="C128:D128"/>
    <mergeCell ref="E128:F128"/>
    <mergeCell ref="B136:H136"/>
    <mergeCell ref="B137:H137"/>
    <mergeCell ref="B138:H138"/>
    <mergeCell ref="B139:H139"/>
    <mergeCell ref="A140:H140"/>
    <mergeCell ref="A131:B131"/>
    <mergeCell ref="C131:D131"/>
    <mergeCell ref="E131:F131"/>
    <mergeCell ref="A132:H132"/>
    <mergeCell ref="B134:G134"/>
    <mergeCell ref="A135:I135"/>
  </mergeCells>
  <pageMargins left="0.25" right="0.25" top="0.75" bottom="0.75" header="0.3" footer="0.3"/>
  <pageSetup paperSize="9" firstPageNumber="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9FB37-CBF0-467A-B109-664CD2955C71}">
  <sheetPr>
    <tabColor rgb="FFFFFF00"/>
  </sheetPr>
  <dimension ref="A2:S141"/>
  <sheetViews>
    <sheetView tabSelected="1" topLeftCell="A94" zoomScale="118" zoomScaleNormal="118" workbookViewId="0">
      <selection activeCell="I104" sqref="I104"/>
    </sheetView>
  </sheetViews>
  <sheetFormatPr defaultColWidth="9.140625" defaultRowHeight="12.75" x14ac:dyDescent="0.2"/>
  <cols>
    <col min="1"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78" t="s">
        <v>1</v>
      </c>
      <c r="B3" s="373" t="s">
        <v>2</v>
      </c>
      <c r="C3" s="373"/>
      <c r="D3" s="373"/>
      <c r="E3" s="373"/>
      <c r="F3" s="373"/>
      <c r="G3" s="373"/>
      <c r="H3" s="373"/>
      <c r="I3" s="1">
        <v>44182</v>
      </c>
      <c r="K3" s="77"/>
      <c r="L3" s="410"/>
      <c r="M3" s="410"/>
      <c r="N3" s="410"/>
      <c r="O3" s="410"/>
      <c r="P3" s="410"/>
      <c r="Q3" s="410"/>
      <c r="R3" s="416"/>
      <c r="S3" s="416"/>
    </row>
    <row r="4" spans="1:19" x14ac:dyDescent="0.2">
      <c r="A4" s="78" t="s">
        <v>3</v>
      </c>
      <c r="B4" s="373" t="s">
        <v>4</v>
      </c>
      <c r="C4" s="373"/>
      <c r="D4" s="373"/>
      <c r="E4" s="373"/>
      <c r="F4" s="373"/>
      <c r="G4" s="373"/>
      <c r="H4" s="373"/>
      <c r="I4" s="78" t="s">
        <v>183</v>
      </c>
      <c r="K4" s="77"/>
      <c r="L4" s="407"/>
      <c r="M4" s="407"/>
      <c r="N4" s="410"/>
      <c r="O4" s="410"/>
      <c r="P4" s="410"/>
      <c r="Q4" s="410"/>
      <c r="R4" s="410"/>
      <c r="S4" s="410"/>
    </row>
    <row r="5" spans="1:19" x14ac:dyDescent="0.2">
      <c r="A5" s="78" t="s">
        <v>5</v>
      </c>
      <c r="B5" s="373" t="s">
        <v>6</v>
      </c>
      <c r="C5" s="373"/>
      <c r="D5" s="373"/>
      <c r="E5" s="373"/>
      <c r="F5" s="373"/>
      <c r="G5" s="373"/>
      <c r="H5" s="373"/>
      <c r="I5" s="78">
        <v>2020</v>
      </c>
      <c r="K5" s="414"/>
      <c r="L5" s="414"/>
      <c r="M5" s="414"/>
      <c r="N5" s="414"/>
      <c r="O5" s="414"/>
      <c r="P5" s="414"/>
      <c r="Q5" s="414"/>
      <c r="R5" s="414"/>
      <c r="S5" s="414"/>
    </row>
    <row r="6" spans="1:19" x14ac:dyDescent="0.2">
      <c r="A6" s="78" t="s">
        <v>7</v>
      </c>
      <c r="B6" s="373" t="s">
        <v>8</v>
      </c>
      <c r="C6" s="373"/>
      <c r="D6" s="373"/>
      <c r="E6" s="373"/>
      <c r="F6" s="373"/>
      <c r="G6" s="373"/>
      <c r="H6" s="373"/>
      <c r="I6" s="78">
        <v>12</v>
      </c>
      <c r="K6" s="414"/>
      <c r="L6" s="414"/>
      <c r="M6" s="414"/>
      <c r="N6" s="414"/>
      <c r="O6" s="414"/>
      <c r="P6" s="414"/>
      <c r="Q6" s="414"/>
      <c r="R6" s="414"/>
      <c r="S6" s="414"/>
    </row>
    <row r="7" spans="1:19" x14ac:dyDescent="0.2">
      <c r="A7" s="81"/>
      <c r="B7" s="80"/>
      <c r="C7" s="80"/>
      <c r="D7" s="80"/>
      <c r="E7" s="80"/>
      <c r="F7" s="80"/>
      <c r="G7" s="80"/>
      <c r="H7" s="81"/>
      <c r="I7" s="81"/>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77"/>
      <c r="L9" s="406"/>
      <c r="M9" s="406"/>
      <c r="N9" s="406"/>
      <c r="O9" s="406"/>
      <c r="P9" s="406"/>
      <c r="Q9" s="406"/>
      <c r="R9" s="410"/>
      <c r="S9" s="410"/>
    </row>
    <row r="10" spans="1:19" ht="27" customHeight="1" x14ac:dyDescent="0.2">
      <c r="A10" s="411" t="s">
        <v>136</v>
      </c>
      <c r="B10" s="411"/>
      <c r="C10" s="370"/>
      <c r="D10" s="370"/>
      <c r="E10" s="412">
        <v>1</v>
      </c>
      <c r="F10" s="412"/>
      <c r="G10" s="412"/>
      <c r="H10" s="412"/>
      <c r="I10" s="412"/>
      <c r="K10" s="76"/>
      <c r="L10" s="408"/>
      <c r="M10" s="408"/>
      <c r="N10" s="408"/>
      <c r="O10" s="408"/>
      <c r="P10" s="408"/>
      <c r="Q10" s="408"/>
      <c r="R10" s="413"/>
      <c r="S10" s="413"/>
    </row>
    <row r="11" spans="1:19" x14ac:dyDescent="0.2">
      <c r="A11" s="81"/>
      <c r="B11" s="80"/>
      <c r="C11" s="80"/>
      <c r="D11" s="80"/>
      <c r="E11" s="80"/>
      <c r="F11" s="80"/>
      <c r="G11" s="80"/>
      <c r="H11" s="81"/>
      <c r="I11" s="81"/>
      <c r="K11" s="77"/>
      <c r="L11" s="406"/>
      <c r="M11" s="406"/>
      <c r="N11" s="406"/>
      <c r="O11" s="406"/>
      <c r="P11" s="406"/>
      <c r="Q11" s="406"/>
      <c r="R11" s="407"/>
      <c r="S11" s="407"/>
    </row>
    <row r="12" spans="1:19" x14ac:dyDescent="0.2">
      <c r="A12" s="395" t="s">
        <v>13</v>
      </c>
      <c r="B12" s="395"/>
      <c r="C12" s="395"/>
      <c r="D12" s="395"/>
      <c r="E12" s="395"/>
      <c r="F12" s="395"/>
      <c r="G12" s="395"/>
      <c r="H12" s="395"/>
      <c r="I12" s="395"/>
      <c r="K12" s="76"/>
      <c r="L12" s="408"/>
      <c r="M12" s="408"/>
      <c r="N12" s="408"/>
      <c r="O12" s="408"/>
      <c r="P12" s="408"/>
      <c r="Q12" s="408"/>
      <c r="R12" s="409"/>
      <c r="S12" s="409"/>
    </row>
    <row r="13" spans="1:19" x14ac:dyDescent="0.2">
      <c r="A13" s="78">
        <v>1</v>
      </c>
      <c r="B13" s="373" t="s">
        <v>14</v>
      </c>
      <c r="C13" s="373"/>
      <c r="D13" s="373"/>
      <c r="E13" s="373"/>
      <c r="F13" s="373"/>
      <c r="G13" s="373"/>
      <c r="H13" s="373"/>
      <c r="I13" s="50" t="s">
        <v>184</v>
      </c>
      <c r="K13" s="2"/>
      <c r="L13" s="2"/>
      <c r="M13" s="2"/>
      <c r="N13" s="2"/>
      <c r="O13" s="2"/>
      <c r="P13" s="2"/>
      <c r="Q13" s="2"/>
      <c r="R13" s="2"/>
      <c r="S13" s="2"/>
    </row>
    <row r="14" spans="1:19" x14ac:dyDescent="0.2">
      <c r="A14" s="78">
        <v>2</v>
      </c>
      <c r="B14" s="373" t="s">
        <v>15</v>
      </c>
      <c r="C14" s="373"/>
      <c r="D14" s="373"/>
      <c r="E14" s="373"/>
      <c r="F14" s="373"/>
      <c r="G14" s="373"/>
      <c r="H14" s="373"/>
      <c r="I14" s="78"/>
    </row>
    <row r="15" spans="1:19" x14ac:dyDescent="0.2">
      <c r="A15" s="78">
        <v>3</v>
      </c>
      <c r="B15" s="373" t="s">
        <v>16</v>
      </c>
      <c r="C15" s="373"/>
      <c r="D15" s="373"/>
      <c r="E15" s="373"/>
      <c r="F15" s="373"/>
      <c r="G15" s="373"/>
      <c r="H15" s="373"/>
      <c r="I15" s="3">
        <v>3</v>
      </c>
    </row>
    <row r="16" spans="1:19" x14ac:dyDescent="0.2">
      <c r="A16" s="78">
        <v>4</v>
      </c>
      <c r="B16" s="373" t="s">
        <v>17</v>
      </c>
      <c r="C16" s="373"/>
      <c r="D16" s="373"/>
      <c r="E16" s="373"/>
      <c r="F16" s="373"/>
      <c r="G16" s="373"/>
      <c r="H16" s="373"/>
      <c r="I16" s="1" t="str">
        <f>A10</f>
        <v>KM RODADO</v>
      </c>
    </row>
    <row r="17" spans="1:12" x14ac:dyDescent="0.2">
      <c r="A17" s="78">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79">
        <v>1</v>
      </c>
      <c r="B20" s="389" t="s">
        <v>20</v>
      </c>
      <c r="C20" s="389"/>
      <c r="D20" s="389"/>
      <c r="E20" s="389"/>
      <c r="F20" s="389"/>
      <c r="G20" s="389"/>
      <c r="H20" s="79" t="s">
        <v>21</v>
      </c>
      <c r="I20" s="79" t="s">
        <v>22</v>
      </c>
    </row>
    <row r="21" spans="1:12" x14ac:dyDescent="0.2">
      <c r="A21" s="79" t="s">
        <v>1</v>
      </c>
      <c r="B21" s="373" t="s">
        <v>23</v>
      </c>
      <c r="C21" s="373"/>
      <c r="D21" s="373"/>
      <c r="E21" s="373"/>
      <c r="F21" s="373"/>
      <c r="G21" s="373"/>
      <c r="H21" s="4"/>
      <c r="I21" s="5">
        <f>I15</f>
        <v>3</v>
      </c>
      <c r="L21" s="20">
        <f>I35+I46+I71+I81</f>
        <v>9.6000000000000002E-2</v>
      </c>
    </row>
    <row r="22" spans="1:12" x14ac:dyDescent="0.2">
      <c r="A22" s="79" t="s">
        <v>3</v>
      </c>
      <c r="B22" s="373" t="s">
        <v>24</v>
      </c>
      <c r="C22" s="373"/>
      <c r="D22" s="373"/>
      <c r="E22" s="373"/>
      <c r="F22" s="373"/>
      <c r="G22" s="373"/>
      <c r="H22" s="6"/>
      <c r="I22" s="5">
        <v>0</v>
      </c>
      <c r="L22" s="53">
        <f>L21/I28</f>
        <v>3.2000000000000001E-2</v>
      </c>
    </row>
    <row r="23" spans="1:12" x14ac:dyDescent="0.2">
      <c r="A23" s="79" t="s">
        <v>5</v>
      </c>
      <c r="B23" s="373" t="s">
        <v>25</v>
      </c>
      <c r="C23" s="373"/>
      <c r="D23" s="373"/>
      <c r="E23" s="373"/>
      <c r="F23" s="373"/>
      <c r="G23" s="373"/>
      <c r="H23" s="6">
        <v>0</v>
      </c>
      <c r="I23" s="5">
        <f>I21*H23</f>
        <v>0</v>
      </c>
    </row>
    <row r="24" spans="1:12" x14ac:dyDescent="0.2">
      <c r="A24" s="79" t="s">
        <v>7</v>
      </c>
      <c r="B24" s="373" t="s">
        <v>26</v>
      </c>
      <c r="C24" s="373"/>
      <c r="D24" s="373"/>
      <c r="E24" s="373"/>
      <c r="F24" s="373"/>
      <c r="G24" s="373"/>
      <c r="H24" s="6"/>
      <c r="I24" s="5">
        <v>0</v>
      </c>
    </row>
    <row r="25" spans="1:12" x14ac:dyDescent="0.2">
      <c r="A25" s="79" t="s">
        <v>27</v>
      </c>
      <c r="B25" s="373" t="s">
        <v>28</v>
      </c>
      <c r="C25" s="373"/>
      <c r="D25" s="373"/>
      <c r="E25" s="373"/>
      <c r="F25" s="373"/>
      <c r="G25" s="373"/>
      <c r="H25" s="6"/>
      <c r="I25" s="5">
        <v>0</v>
      </c>
    </row>
    <row r="26" spans="1:12" x14ac:dyDescent="0.2">
      <c r="A26" s="79" t="s">
        <v>29</v>
      </c>
      <c r="B26" s="373" t="s">
        <v>30</v>
      </c>
      <c r="C26" s="373"/>
      <c r="D26" s="373"/>
      <c r="E26" s="373"/>
      <c r="F26" s="373"/>
      <c r="G26" s="373"/>
      <c r="H26" s="6"/>
      <c r="I26" s="5">
        <v>0</v>
      </c>
    </row>
    <row r="27" spans="1:12" x14ac:dyDescent="0.2">
      <c r="A27" s="79"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3</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79" t="s">
        <v>21</v>
      </c>
      <c r="I31" s="79" t="s">
        <v>22</v>
      </c>
      <c r="J31" s="48"/>
    </row>
    <row r="32" spans="1:12" x14ac:dyDescent="0.2">
      <c r="A32" s="79" t="s">
        <v>1</v>
      </c>
      <c r="B32" s="373" t="s">
        <v>36</v>
      </c>
      <c r="C32" s="373"/>
      <c r="D32" s="373"/>
      <c r="E32" s="373"/>
      <c r="F32" s="373"/>
      <c r="G32" s="373"/>
      <c r="H32" s="10">
        <v>0</v>
      </c>
      <c r="I32" s="5">
        <f>$I$28*H32</f>
        <v>0</v>
      </c>
      <c r="J32" s="48"/>
    </row>
    <row r="33" spans="1:11" x14ac:dyDescent="0.2">
      <c r="A33" s="79" t="s">
        <v>3</v>
      </c>
      <c r="B33" s="373" t="s">
        <v>185</v>
      </c>
      <c r="C33" s="373"/>
      <c r="D33" s="373"/>
      <c r="E33" s="373"/>
      <c r="F33" s="373"/>
      <c r="G33" s="373"/>
      <c r="H33" s="11">
        <v>0</v>
      </c>
      <c r="I33" s="5">
        <f>H33*I28</f>
        <v>0</v>
      </c>
      <c r="J33" s="48"/>
    </row>
    <row r="34" spans="1:11" x14ac:dyDescent="0.2">
      <c r="A34" s="79" t="s">
        <v>132</v>
      </c>
      <c r="B34" s="373" t="s">
        <v>133</v>
      </c>
      <c r="C34" s="373"/>
      <c r="D34" s="373"/>
      <c r="E34" s="373"/>
      <c r="F34" s="373"/>
      <c r="G34" s="373"/>
      <c r="H34" s="11">
        <f>(H32+H33)*H46</f>
        <v>0</v>
      </c>
      <c r="I34" s="5">
        <f>I28*H34</f>
        <v>0</v>
      </c>
      <c r="J34" s="48"/>
    </row>
    <row r="35" spans="1:11" x14ac:dyDescent="0.2">
      <c r="A35" s="389" t="s">
        <v>37</v>
      </c>
      <c r="B35" s="389"/>
      <c r="C35" s="389"/>
      <c r="D35" s="389"/>
      <c r="E35" s="389"/>
      <c r="F35" s="389"/>
      <c r="G35" s="389"/>
      <c r="H35" s="12">
        <f>TRUNC(SUM(H32:H33),4)</f>
        <v>0</v>
      </c>
      <c r="I35" s="13">
        <f>SUM(I32:I34)</f>
        <v>0</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79" t="s">
        <v>21</v>
      </c>
      <c r="I37" s="79" t="s">
        <v>22</v>
      </c>
      <c r="J37" s="48"/>
      <c r="K37" s="404"/>
    </row>
    <row r="38" spans="1:11" x14ac:dyDescent="0.2">
      <c r="A38" s="79" t="s">
        <v>1</v>
      </c>
      <c r="B38" s="373" t="s">
        <v>39</v>
      </c>
      <c r="C38" s="373"/>
      <c r="D38" s="373"/>
      <c r="E38" s="373"/>
      <c r="F38" s="373"/>
      <c r="G38" s="373"/>
      <c r="H38" s="10">
        <v>0</v>
      </c>
      <c r="I38" s="5">
        <f>($I$28)*H38</f>
        <v>0</v>
      </c>
      <c r="J38" s="48"/>
      <c r="K38" s="404"/>
    </row>
    <row r="39" spans="1:11" x14ac:dyDescent="0.2">
      <c r="A39" s="79" t="s">
        <v>3</v>
      </c>
      <c r="B39" s="373" t="s">
        <v>40</v>
      </c>
      <c r="C39" s="373"/>
      <c r="D39" s="373"/>
      <c r="E39" s="373"/>
      <c r="F39" s="373"/>
      <c r="G39" s="373"/>
      <c r="H39" s="10">
        <v>0</v>
      </c>
      <c r="I39" s="5">
        <f t="shared" ref="I39:I45" si="0">($I$28)*H39</f>
        <v>0</v>
      </c>
      <c r="J39" s="48"/>
      <c r="K39" s="404"/>
    </row>
    <row r="40" spans="1:11" x14ac:dyDescent="0.2">
      <c r="A40" s="79" t="s">
        <v>5</v>
      </c>
      <c r="B40" s="373" t="s">
        <v>41</v>
      </c>
      <c r="C40" s="373"/>
      <c r="D40" s="373"/>
      <c r="E40" s="373"/>
      <c r="F40" s="373"/>
      <c r="G40" s="373"/>
      <c r="H40" s="10">
        <v>0</v>
      </c>
      <c r="I40" s="5">
        <f t="shared" si="0"/>
        <v>0</v>
      </c>
      <c r="J40" s="48"/>
      <c r="K40" s="404"/>
    </row>
    <row r="41" spans="1:11" x14ac:dyDescent="0.2">
      <c r="A41" s="79" t="s">
        <v>7</v>
      </c>
      <c r="B41" s="373" t="s">
        <v>42</v>
      </c>
      <c r="C41" s="373"/>
      <c r="D41" s="373"/>
      <c r="E41" s="373"/>
      <c r="F41" s="373"/>
      <c r="G41" s="373"/>
      <c r="H41" s="10">
        <v>0</v>
      </c>
      <c r="I41" s="5">
        <f t="shared" si="0"/>
        <v>0</v>
      </c>
      <c r="J41" s="48"/>
      <c r="K41" s="404"/>
    </row>
    <row r="42" spans="1:11" x14ac:dyDescent="0.2">
      <c r="A42" s="79" t="s">
        <v>27</v>
      </c>
      <c r="B42" s="373" t="s">
        <v>43</v>
      </c>
      <c r="C42" s="373"/>
      <c r="D42" s="373"/>
      <c r="E42" s="373"/>
      <c r="F42" s="373"/>
      <c r="G42" s="373"/>
      <c r="H42" s="10">
        <v>0</v>
      </c>
      <c r="I42" s="5">
        <f t="shared" si="0"/>
        <v>0</v>
      </c>
      <c r="J42" s="48"/>
      <c r="K42" s="404"/>
    </row>
    <row r="43" spans="1:11" x14ac:dyDescent="0.2">
      <c r="A43" s="79" t="s">
        <v>29</v>
      </c>
      <c r="B43" s="373" t="s">
        <v>44</v>
      </c>
      <c r="C43" s="373"/>
      <c r="D43" s="373"/>
      <c r="E43" s="373"/>
      <c r="F43" s="373"/>
      <c r="G43" s="373"/>
      <c r="H43" s="10">
        <v>0</v>
      </c>
      <c r="I43" s="5">
        <f t="shared" si="0"/>
        <v>0</v>
      </c>
      <c r="J43" s="48"/>
      <c r="K43" s="404"/>
    </row>
    <row r="44" spans="1:11" x14ac:dyDescent="0.2">
      <c r="A44" s="79" t="s">
        <v>31</v>
      </c>
      <c r="B44" s="373" t="s">
        <v>45</v>
      </c>
      <c r="C44" s="373"/>
      <c r="D44" s="373"/>
      <c r="E44" s="373"/>
      <c r="F44" s="373"/>
      <c r="G44" s="373"/>
      <c r="H44" s="10">
        <v>0</v>
      </c>
      <c r="I44" s="5">
        <f t="shared" si="0"/>
        <v>0</v>
      </c>
      <c r="J44" s="48"/>
      <c r="K44" s="404"/>
    </row>
    <row r="45" spans="1:11" x14ac:dyDescent="0.2">
      <c r="A45" s="79" t="s">
        <v>46</v>
      </c>
      <c r="B45" s="373" t="s">
        <v>47</v>
      </c>
      <c r="C45" s="373"/>
      <c r="D45" s="373"/>
      <c r="E45" s="373"/>
      <c r="F45" s="373"/>
      <c r="G45" s="373"/>
      <c r="H45" s="10">
        <v>0</v>
      </c>
      <c r="I45" s="5">
        <f t="shared" si="0"/>
        <v>0</v>
      </c>
      <c r="J45" s="48"/>
      <c r="K45" s="404"/>
    </row>
    <row r="46" spans="1:11" x14ac:dyDescent="0.2">
      <c r="A46" s="389" t="s">
        <v>48</v>
      </c>
      <c r="B46" s="389"/>
      <c r="C46" s="389"/>
      <c r="D46" s="389"/>
      <c r="E46" s="389"/>
      <c r="F46" s="389"/>
      <c r="G46" s="389"/>
      <c r="H46" s="12">
        <f>SUM(H38:H45)</f>
        <v>0</v>
      </c>
      <c r="I46" s="13">
        <f>(SUM(I38:I45))</f>
        <v>0</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79" t="s">
        <v>22</v>
      </c>
      <c r="J48" s="48"/>
    </row>
    <row r="49" spans="1:10" x14ac:dyDescent="0.2">
      <c r="A49" s="79" t="s">
        <v>1</v>
      </c>
      <c r="B49" s="393" t="s">
        <v>125</v>
      </c>
      <c r="C49" s="393"/>
      <c r="D49" s="393"/>
      <c r="E49" s="393"/>
      <c r="F49" s="393"/>
      <c r="G49" s="393"/>
      <c r="H49" s="55">
        <v>4</v>
      </c>
      <c r="I49" s="14">
        <v>0</v>
      </c>
      <c r="J49" s="48"/>
    </row>
    <row r="50" spans="1:10" x14ac:dyDescent="0.2">
      <c r="A50" s="79" t="s">
        <v>3</v>
      </c>
      <c r="B50" s="393" t="s">
        <v>124</v>
      </c>
      <c r="C50" s="393"/>
      <c r="D50" s="393"/>
      <c r="E50" s="393"/>
      <c r="F50" s="393"/>
      <c r="G50" s="393"/>
      <c r="H50" s="55">
        <v>418</v>
      </c>
      <c r="I50" s="15">
        <v>0</v>
      </c>
      <c r="J50" s="49"/>
    </row>
    <row r="51" spans="1:10" x14ac:dyDescent="0.2">
      <c r="A51" s="79" t="s">
        <v>5</v>
      </c>
      <c r="B51" s="393" t="s">
        <v>126</v>
      </c>
      <c r="C51" s="393"/>
      <c r="D51" s="393"/>
      <c r="E51" s="393"/>
      <c r="F51" s="393"/>
      <c r="G51" s="393"/>
      <c r="H51" s="55">
        <v>0</v>
      </c>
      <c r="I51" s="14">
        <f>H51</f>
        <v>0</v>
      </c>
      <c r="J51" s="48"/>
    </row>
    <row r="52" spans="1:10" x14ac:dyDescent="0.2">
      <c r="A52" s="79" t="s">
        <v>7</v>
      </c>
      <c r="B52" s="397" t="s">
        <v>127</v>
      </c>
      <c r="C52" s="398"/>
      <c r="D52" s="398"/>
      <c r="E52" s="398"/>
      <c r="F52" s="398"/>
      <c r="G52" s="399"/>
      <c r="H52" s="55">
        <v>0</v>
      </c>
      <c r="I52" s="14">
        <f>H52</f>
        <v>0</v>
      </c>
      <c r="J52" s="48"/>
    </row>
    <row r="53" spans="1:10" x14ac:dyDescent="0.2">
      <c r="A53" s="79" t="s">
        <v>27</v>
      </c>
      <c r="B53" s="373" t="s">
        <v>131</v>
      </c>
      <c r="C53" s="373"/>
      <c r="D53" s="373"/>
      <c r="E53" s="373"/>
      <c r="F53" s="373"/>
      <c r="G53" s="373"/>
      <c r="H53" s="55">
        <v>8</v>
      </c>
      <c r="I53" s="14">
        <v>0</v>
      </c>
      <c r="J53" s="48"/>
    </row>
    <row r="54" spans="1:10" x14ac:dyDescent="0.2">
      <c r="A54" s="389" t="s">
        <v>51</v>
      </c>
      <c r="B54" s="389"/>
      <c r="C54" s="389"/>
      <c r="D54" s="389"/>
      <c r="E54" s="389"/>
      <c r="F54" s="389"/>
      <c r="G54" s="389"/>
      <c r="H54" s="389"/>
      <c r="I54" s="13">
        <f>(SUM(I49:I53))</f>
        <v>0</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79" t="s">
        <v>22</v>
      </c>
      <c r="J57" s="48"/>
    </row>
    <row r="58" spans="1:10" x14ac:dyDescent="0.2">
      <c r="A58" s="79" t="s">
        <v>54</v>
      </c>
      <c r="B58" s="370" t="s">
        <v>55</v>
      </c>
      <c r="C58" s="370"/>
      <c r="D58" s="370"/>
      <c r="E58" s="370"/>
      <c r="F58" s="370"/>
      <c r="G58" s="370"/>
      <c r="H58" s="370"/>
      <c r="I58" s="16">
        <f>I35</f>
        <v>0</v>
      </c>
      <c r="J58" s="48"/>
    </row>
    <row r="59" spans="1:10" x14ac:dyDescent="0.2">
      <c r="A59" s="79" t="s">
        <v>56</v>
      </c>
      <c r="B59" s="370" t="s">
        <v>57</v>
      </c>
      <c r="C59" s="370"/>
      <c r="D59" s="370"/>
      <c r="E59" s="370"/>
      <c r="F59" s="370"/>
      <c r="G59" s="370"/>
      <c r="H59" s="370"/>
      <c r="I59" s="16">
        <f>I46</f>
        <v>0</v>
      </c>
      <c r="J59" s="48"/>
    </row>
    <row r="60" spans="1:10" x14ac:dyDescent="0.2">
      <c r="A60" s="79" t="s">
        <v>58</v>
      </c>
      <c r="B60" s="370" t="s">
        <v>59</v>
      </c>
      <c r="C60" s="370"/>
      <c r="D60" s="370"/>
      <c r="E60" s="370"/>
      <c r="F60" s="370"/>
      <c r="G60" s="370"/>
      <c r="H60" s="370"/>
      <c r="I60" s="16">
        <f>I54</f>
        <v>0</v>
      </c>
      <c r="J60" s="48"/>
    </row>
    <row r="61" spans="1:10" x14ac:dyDescent="0.2">
      <c r="A61" s="389" t="s">
        <v>60</v>
      </c>
      <c r="B61" s="389"/>
      <c r="C61" s="389"/>
      <c r="D61" s="389"/>
      <c r="E61" s="389"/>
      <c r="F61" s="389"/>
      <c r="G61" s="389"/>
      <c r="H61" s="389"/>
      <c r="I61" s="13">
        <f>(SUM(I58:I60))</f>
        <v>0</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79">
        <v>3</v>
      </c>
      <c r="B64" s="389" t="s">
        <v>62</v>
      </c>
      <c r="C64" s="389"/>
      <c r="D64" s="389"/>
      <c r="E64" s="389"/>
      <c r="F64" s="389"/>
      <c r="G64" s="389"/>
      <c r="H64" s="79" t="s">
        <v>21</v>
      </c>
      <c r="I64" s="79" t="s">
        <v>22</v>
      </c>
      <c r="J64" s="48"/>
    </row>
    <row r="65" spans="1:11" x14ac:dyDescent="0.2">
      <c r="A65" s="79" t="s">
        <v>1</v>
      </c>
      <c r="B65" s="373" t="s">
        <v>63</v>
      </c>
      <c r="C65" s="373"/>
      <c r="D65" s="373"/>
      <c r="E65" s="373"/>
      <c r="F65" s="373"/>
      <c r="G65" s="373"/>
      <c r="H65" s="17">
        <v>0</v>
      </c>
      <c r="I65" s="16">
        <f>$I$28*H65</f>
        <v>0</v>
      </c>
      <c r="J65" s="48"/>
    </row>
    <row r="66" spans="1:11" x14ac:dyDescent="0.2">
      <c r="A66" s="79" t="s">
        <v>3</v>
      </c>
      <c r="B66" s="373" t="s">
        <v>64</v>
      </c>
      <c r="C66" s="373"/>
      <c r="D66" s="373"/>
      <c r="E66" s="373"/>
      <c r="F66" s="373"/>
      <c r="G66" s="373"/>
      <c r="H66" s="17">
        <v>0</v>
      </c>
      <c r="I66" s="5">
        <f>H66*I28</f>
        <v>0</v>
      </c>
      <c r="J66" s="48"/>
    </row>
    <row r="67" spans="1:11" x14ac:dyDescent="0.2">
      <c r="A67" s="79" t="s">
        <v>5</v>
      </c>
      <c r="B67" s="373" t="s">
        <v>65</v>
      </c>
      <c r="C67" s="373"/>
      <c r="D67" s="373"/>
      <c r="E67" s="373"/>
      <c r="F67" s="373"/>
      <c r="G67" s="373"/>
      <c r="H67" s="17">
        <v>0.01</v>
      </c>
      <c r="I67" s="5">
        <f>$I$28*H67</f>
        <v>0.03</v>
      </c>
      <c r="J67" s="48"/>
    </row>
    <row r="68" spans="1:11" x14ac:dyDescent="0.2">
      <c r="A68" s="79" t="s">
        <v>7</v>
      </c>
      <c r="B68" s="373" t="s">
        <v>66</v>
      </c>
      <c r="C68" s="373"/>
      <c r="D68" s="373"/>
      <c r="E68" s="373"/>
      <c r="F68" s="373"/>
      <c r="G68" s="373"/>
      <c r="H68" s="17">
        <v>0</v>
      </c>
      <c r="I68" s="5">
        <f>$I$28*H68</f>
        <v>0</v>
      </c>
      <c r="J68" s="48"/>
    </row>
    <row r="69" spans="1:11" x14ac:dyDescent="0.2">
      <c r="A69" s="79" t="s">
        <v>27</v>
      </c>
      <c r="B69" s="373" t="s">
        <v>67</v>
      </c>
      <c r="C69" s="373"/>
      <c r="D69" s="373"/>
      <c r="E69" s="373"/>
      <c r="F69" s="373"/>
      <c r="G69" s="373"/>
      <c r="H69" s="17">
        <v>0</v>
      </c>
      <c r="I69" s="5">
        <f>$I$28*H69</f>
        <v>0</v>
      </c>
      <c r="J69" s="48"/>
    </row>
    <row r="70" spans="1:11" x14ac:dyDescent="0.2">
      <c r="A70" s="79" t="s">
        <v>29</v>
      </c>
      <c r="B70" s="373" t="s">
        <v>68</v>
      </c>
      <c r="C70" s="373"/>
      <c r="D70" s="373"/>
      <c r="E70" s="373"/>
      <c r="F70" s="373"/>
      <c r="G70" s="373"/>
      <c r="H70" s="17">
        <v>2.1999999999999999E-2</v>
      </c>
      <c r="I70" s="5">
        <f>$I$28*H70</f>
        <v>6.6000000000000003E-2</v>
      </c>
      <c r="J70" s="48"/>
      <c r="K70" s="20"/>
    </row>
    <row r="71" spans="1:11" x14ac:dyDescent="0.2">
      <c r="A71" s="389" t="s">
        <v>69</v>
      </c>
      <c r="B71" s="389"/>
      <c r="C71" s="389"/>
      <c r="D71" s="389"/>
      <c r="E71" s="389"/>
      <c r="F71" s="389"/>
      <c r="G71" s="389"/>
      <c r="H71" s="12">
        <f>TRUNC(SUM(H65:H70),4)</f>
        <v>3.2000000000000001E-2</v>
      </c>
      <c r="I71" s="13">
        <f>(SUM(I65:I70))</f>
        <v>9.6000000000000002E-2</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79" t="s">
        <v>21</v>
      </c>
      <c r="I74" s="79" t="s">
        <v>22</v>
      </c>
      <c r="J74" s="48"/>
    </row>
    <row r="75" spans="1:11" x14ac:dyDescent="0.2">
      <c r="A75" s="79" t="s">
        <v>1</v>
      </c>
      <c r="B75" s="373" t="s">
        <v>186</v>
      </c>
      <c r="C75" s="373"/>
      <c r="D75" s="373"/>
      <c r="E75" s="373"/>
      <c r="F75" s="373"/>
      <c r="G75" s="373"/>
      <c r="H75" s="148">
        <v>0</v>
      </c>
      <c r="I75" s="5">
        <f t="shared" ref="I75:I80" si="1">$I$28*H75</f>
        <v>0</v>
      </c>
      <c r="J75" s="48"/>
    </row>
    <row r="76" spans="1:11" x14ac:dyDescent="0.2">
      <c r="A76" s="79" t="s">
        <v>3</v>
      </c>
      <c r="B76" s="373" t="s">
        <v>187</v>
      </c>
      <c r="C76" s="373"/>
      <c r="D76" s="373"/>
      <c r="E76" s="373"/>
      <c r="F76" s="373"/>
      <c r="G76" s="373"/>
      <c r="H76" s="148">
        <v>0</v>
      </c>
      <c r="I76" s="16">
        <f t="shared" si="1"/>
        <v>0</v>
      </c>
      <c r="J76" s="48"/>
    </row>
    <row r="77" spans="1:11" x14ac:dyDescent="0.2">
      <c r="A77" s="79" t="s">
        <v>5</v>
      </c>
      <c r="B77" s="373" t="s">
        <v>188</v>
      </c>
      <c r="C77" s="373"/>
      <c r="D77" s="373"/>
      <c r="E77" s="373"/>
      <c r="F77" s="373"/>
      <c r="G77" s="373"/>
      <c r="H77" s="17">
        <v>0</v>
      </c>
      <c r="I77" s="16">
        <f t="shared" si="1"/>
        <v>0</v>
      </c>
      <c r="J77" s="48"/>
    </row>
    <row r="78" spans="1:11" x14ac:dyDescent="0.2">
      <c r="A78" s="79" t="s">
        <v>7</v>
      </c>
      <c r="B78" s="373" t="s">
        <v>189</v>
      </c>
      <c r="C78" s="373"/>
      <c r="D78" s="373"/>
      <c r="E78" s="373"/>
      <c r="F78" s="373"/>
      <c r="G78" s="373"/>
      <c r="H78" s="148">
        <v>0</v>
      </c>
      <c r="I78" s="16">
        <f t="shared" si="1"/>
        <v>0</v>
      </c>
      <c r="J78" s="48"/>
    </row>
    <row r="79" spans="1:11" x14ac:dyDescent="0.2">
      <c r="A79" s="79" t="s">
        <v>27</v>
      </c>
      <c r="B79" s="373" t="s">
        <v>190</v>
      </c>
      <c r="C79" s="373"/>
      <c r="D79" s="373"/>
      <c r="E79" s="373"/>
      <c r="F79" s="373"/>
      <c r="G79" s="373"/>
      <c r="H79" s="17">
        <v>0</v>
      </c>
      <c r="I79" s="16">
        <f t="shared" si="1"/>
        <v>0</v>
      </c>
      <c r="J79" s="48"/>
    </row>
    <row r="80" spans="1:11" x14ac:dyDescent="0.2">
      <c r="A80" s="79"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0</v>
      </c>
      <c r="I81" s="13">
        <f>(SUM(I75:I80))</f>
        <v>0</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79" t="s">
        <v>21</v>
      </c>
      <c r="I83" s="79" t="s">
        <v>22</v>
      </c>
      <c r="J83" s="48"/>
    </row>
    <row r="84" spans="1:10" x14ac:dyDescent="0.2">
      <c r="A84" s="79"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79" t="s">
        <v>22</v>
      </c>
      <c r="J88" s="48"/>
    </row>
    <row r="89" spans="1:10" x14ac:dyDescent="0.2">
      <c r="A89" s="79" t="s">
        <v>77</v>
      </c>
      <c r="B89" s="370" t="s">
        <v>193</v>
      </c>
      <c r="C89" s="370"/>
      <c r="D89" s="370"/>
      <c r="E89" s="370"/>
      <c r="F89" s="370"/>
      <c r="G89" s="370"/>
      <c r="H89" s="370"/>
      <c r="I89" s="16">
        <f>I81</f>
        <v>0</v>
      </c>
      <c r="J89" s="48"/>
    </row>
    <row r="90" spans="1:10" x14ac:dyDescent="0.2">
      <c r="A90" s="79" t="s">
        <v>78</v>
      </c>
      <c r="B90" s="370" t="s">
        <v>194</v>
      </c>
      <c r="C90" s="370"/>
      <c r="D90" s="370"/>
      <c r="E90" s="370"/>
      <c r="F90" s="370"/>
      <c r="G90" s="370"/>
      <c r="H90" s="370"/>
      <c r="I90" s="16">
        <f>I85</f>
        <v>0</v>
      </c>
      <c r="J90" s="48"/>
    </row>
    <row r="91" spans="1:10" x14ac:dyDescent="0.2">
      <c r="A91" s="125" t="s">
        <v>46</v>
      </c>
      <c r="B91" s="370" t="s">
        <v>195</v>
      </c>
      <c r="C91" s="370"/>
      <c r="D91" s="370"/>
      <c r="E91" s="370"/>
      <c r="F91" s="370"/>
      <c r="G91" s="370"/>
      <c r="H91" s="370"/>
      <c r="I91" s="16">
        <f>(H81*H46)*I89</f>
        <v>0</v>
      </c>
      <c r="J91" s="48"/>
    </row>
    <row r="92" spans="1:10" x14ac:dyDescent="0.2">
      <c r="A92" s="389" t="s">
        <v>79</v>
      </c>
      <c r="B92" s="389"/>
      <c r="C92" s="389"/>
      <c r="D92" s="389"/>
      <c r="E92" s="389"/>
      <c r="F92" s="389"/>
      <c r="G92" s="389"/>
      <c r="H92" s="389"/>
      <c r="I92" s="13">
        <f>(SUM(I89:I90))</f>
        <v>0</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79">
        <v>5</v>
      </c>
      <c r="B95" s="389" t="s">
        <v>81</v>
      </c>
      <c r="C95" s="389"/>
      <c r="D95" s="389"/>
      <c r="E95" s="389"/>
      <c r="F95" s="389"/>
      <c r="G95" s="389"/>
      <c r="H95" s="79"/>
      <c r="I95" s="79" t="s">
        <v>22</v>
      </c>
      <c r="J95" s="48"/>
    </row>
    <row r="96" spans="1:10" x14ac:dyDescent="0.2">
      <c r="A96" s="79" t="s">
        <v>1</v>
      </c>
      <c r="B96" s="393" t="s">
        <v>82</v>
      </c>
      <c r="C96" s="393"/>
      <c r="D96" s="393"/>
      <c r="E96" s="393"/>
      <c r="F96" s="393"/>
      <c r="G96" s="393"/>
      <c r="H96" s="78" t="s">
        <v>50</v>
      </c>
      <c r="I96" s="66">
        <v>0</v>
      </c>
      <c r="J96" s="48"/>
    </row>
    <row r="97" spans="1:13" x14ac:dyDescent="0.2">
      <c r="A97" s="79" t="s">
        <v>3</v>
      </c>
      <c r="B97" s="393" t="s">
        <v>83</v>
      </c>
      <c r="C97" s="393"/>
      <c r="D97" s="393"/>
      <c r="E97" s="393"/>
      <c r="F97" s="393"/>
      <c r="G97" s="393"/>
      <c r="H97" s="78" t="s">
        <v>50</v>
      </c>
      <c r="I97" s="16">
        <v>0</v>
      </c>
      <c r="J97" s="48"/>
    </row>
    <row r="98" spans="1:13" x14ac:dyDescent="0.2">
      <c r="A98" s="21" t="s">
        <v>5</v>
      </c>
      <c r="B98" s="393" t="s">
        <v>84</v>
      </c>
      <c r="C98" s="393"/>
      <c r="D98" s="393"/>
      <c r="E98" s="393"/>
      <c r="F98" s="393"/>
      <c r="G98" s="393"/>
      <c r="H98" s="78" t="s">
        <v>50</v>
      </c>
      <c r="I98" s="16">
        <v>0</v>
      </c>
      <c r="J98" s="48"/>
    </row>
    <row r="99" spans="1:13" x14ac:dyDescent="0.2">
      <c r="A99" s="21" t="s">
        <v>7</v>
      </c>
      <c r="B99" s="393" t="s">
        <v>128</v>
      </c>
      <c r="C99" s="393"/>
      <c r="D99" s="393"/>
      <c r="E99" s="393"/>
      <c r="F99" s="393"/>
      <c r="G99" s="393"/>
      <c r="H99" s="78" t="s">
        <v>50</v>
      </c>
      <c r="I99" s="16">
        <v>0</v>
      </c>
      <c r="J99" s="48"/>
    </row>
    <row r="100" spans="1:13" x14ac:dyDescent="0.2">
      <c r="A100" s="389" t="s">
        <v>85</v>
      </c>
      <c r="B100" s="389"/>
      <c r="C100" s="389"/>
      <c r="D100" s="389"/>
      <c r="E100" s="389"/>
      <c r="F100" s="389"/>
      <c r="G100" s="389"/>
      <c r="H100" s="12" t="s">
        <v>50</v>
      </c>
      <c r="I100" s="13">
        <f>(SUM(I96:I99))</f>
        <v>0</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79">
        <v>6</v>
      </c>
      <c r="B103" s="389" t="s">
        <v>87</v>
      </c>
      <c r="C103" s="389"/>
      <c r="D103" s="389"/>
      <c r="E103" s="389"/>
      <c r="F103" s="389"/>
      <c r="G103" s="389"/>
      <c r="H103" s="79" t="s">
        <v>21</v>
      </c>
      <c r="I103" s="79" t="s">
        <v>22</v>
      </c>
      <c r="J103" s="48"/>
      <c r="K103" s="52">
        <f>'ANEXO VII'!M57</f>
        <v>197.15170301310718</v>
      </c>
    </row>
    <row r="104" spans="1:13" x14ac:dyDescent="0.2">
      <c r="A104" s="79" t="s">
        <v>1</v>
      </c>
      <c r="B104" s="373" t="s">
        <v>88</v>
      </c>
      <c r="C104" s="373"/>
      <c r="D104" s="373"/>
      <c r="E104" s="373"/>
      <c r="F104" s="373"/>
      <c r="G104" s="373"/>
      <c r="H104" s="22">
        <v>5.21E-2</v>
      </c>
      <c r="I104" s="16">
        <f>I120*H104</f>
        <v>0.16130160000000002</v>
      </c>
      <c r="J104" s="48"/>
      <c r="M104" s="52"/>
    </row>
    <row r="105" spans="1:13" x14ac:dyDescent="0.2">
      <c r="A105" s="79" t="s">
        <v>3</v>
      </c>
      <c r="B105" s="373" t="s">
        <v>89</v>
      </c>
      <c r="C105" s="373"/>
      <c r="D105" s="373"/>
      <c r="E105" s="373"/>
      <c r="F105" s="373"/>
      <c r="G105" s="373"/>
      <c r="H105" s="22">
        <v>0.05</v>
      </c>
      <c r="I105" s="16">
        <f>(I120+I104)*H105</f>
        <v>0.16286508</v>
      </c>
      <c r="J105" s="48"/>
    </row>
    <row r="106" spans="1:13" x14ac:dyDescent="0.2">
      <c r="A106" s="79" t="s">
        <v>5</v>
      </c>
      <c r="B106" s="392" t="s">
        <v>90</v>
      </c>
      <c r="C106" s="392"/>
      <c r="D106" s="392"/>
      <c r="E106" s="392"/>
      <c r="F106" s="392"/>
      <c r="G106" s="392"/>
      <c r="H106" s="23">
        <f>H107+H108+H109</f>
        <v>8.6499999999999994E-2</v>
      </c>
      <c r="I106" s="24"/>
      <c r="J106" s="48"/>
    </row>
    <row r="107" spans="1:13" x14ac:dyDescent="0.2">
      <c r="A107" s="79" t="s">
        <v>91</v>
      </c>
      <c r="B107" s="373" t="s">
        <v>92</v>
      </c>
      <c r="C107" s="373"/>
      <c r="D107" s="373"/>
      <c r="E107" s="373"/>
      <c r="F107" s="373"/>
      <c r="G107" s="373"/>
      <c r="H107" s="25">
        <v>6.4999999999999997E-3</v>
      </c>
      <c r="I107" s="16">
        <f>K110*H107</f>
        <v>2.4336161379310342E-2</v>
      </c>
      <c r="J107" s="48"/>
      <c r="K107" s="65">
        <f>1-H106</f>
        <v>0.91349999999999998</v>
      </c>
    </row>
    <row r="108" spans="1:13" x14ac:dyDescent="0.2">
      <c r="A108" s="79" t="s">
        <v>93</v>
      </c>
      <c r="B108" s="373" t="s">
        <v>94</v>
      </c>
      <c r="C108" s="373"/>
      <c r="D108" s="373"/>
      <c r="E108" s="373"/>
      <c r="F108" s="373"/>
      <c r="G108" s="373"/>
      <c r="H108" s="25">
        <v>0.03</v>
      </c>
      <c r="I108" s="16">
        <f>K110*H108</f>
        <v>0.11232074482758619</v>
      </c>
      <c r="J108" s="48"/>
      <c r="K108" s="45">
        <f>K107/1</f>
        <v>0.91349999999999998</v>
      </c>
    </row>
    <row r="109" spans="1:13" x14ac:dyDescent="0.2">
      <c r="A109" s="79" t="s">
        <v>95</v>
      </c>
      <c r="B109" s="373" t="s">
        <v>96</v>
      </c>
      <c r="C109" s="373"/>
      <c r="D109" s="373"/>
      <c r="E109" s="373"/>
      <c r="F109" s="373"/>
      <c r="G109" s="373"/>
      <c r="H109" s="26">
        <v>0.05</v>
      </c>
      <c r="I109" s="16">
        <f>K110*H109</f>
        <v>0.18720124137931035</v>
      </c>
      <c r="J109" s="48"/>
      <c r="K109" s="20">
        <f>I120+I104+I105</f>
        <v>3.4201666799999999</v>
      </c>
    </row>
    <row r="110" spans="1:13" x14ac:dyDescent="0.2">
      <c r="A110" s="389" t="s">
        <v>97</v>
      </c>
      <c r="B110" s="389"/>
      <c r="C110" s="389"/>
      <c r="D110" s="389"/>
      <c r="E110" s="389"/>
      <c r="F110" s="389"/>
      <c r="G110" s="389"/>
      <c r="H110" s="25">
        <f>SUM(H104+H105+H106)</f>
        <v>0.18859999999999999</v>
      </c>
      <c r="I110" s="13">
        <f>(SUM(I104:I109))</f>
        <v>0.64802482758620694</v>
      </c>
      <c r="J110" s="48"/>
      <c r="K110" s="20">
        <f>K109/K108</f>
        <v>3.7440248275862067</v>
      </c>
    </row>
    <row r="111" spans="1:13" x14ac:dyDescent="0.2">
      <c r="A111" s="81"/>
      <c r="B111" s="390"/>
      <c r="C111" s="390"/>
      <c r="D111" s="390"/>
      <c r="E111" s="390"/>
      <c r="F111" s="390"/>
      <c r="G111" s="390"/>
      <c r="H111" s="390"/>
      <c r="I111" s="390"/>
    </row>
    <row r="112" spans="1:13" x14ac:dyDescent="0.2">
      <c r="A112" s="81"/>
      <c r="B112" s="81"/>
      <c r="C112" s="81"/>
      <c r="D112" s="81"/>
      <c r="E112" s="81"/>
      <c r="F112" s="81"/>
      <c r="G112" s="81"/>
      <c r="H112" s="81"/>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79" t="s">
        <v>22</v>
      </c>
    </row>
    <row r="115" spans="1:12" x14ac:dyDescent="0.2">
      <c r="A115" s="78" t="s">
        <v>1</v>
      </c>
      <c r="B115" s="373" t="str">
        <f>A19</f>
        <v>MÓDULO 1 - COMPOSIÇÃO DA REMUNERAÇÃO</v>
      </c>
      <c r="C115" s="373"/>
      <c r="D115" s="373"/>
      <c r="E115" s="373"/>
      <c r="F115" s="373"/>
      <c r="G115" s="373"/>
      <c r="H115" s="373"/>
      <c r="I115" s="16">
        <f>I28</f>
        <v>3</v>
      </c>
      <c r="K115" s="20"/>
      <c r="L115" s="53"/>
    </row>
    <row r="116" spans="1:12" x14ac:dyDescent="0.2">
      <c r="A116" s="78" t="s">
        <v>3</v>
      </c>
      <c r="B116" s="373" t="str">
        <f>A30</f>
        <v>MÓDULO 2 – ENCARGOS E BENEFÍCIOS ANUAIS, MENSAIS E DIÁRIOS</v>
      </c>
      <c r="C116" s="373"/>
      <c r="D116" s="373"/>
      <c r="E116" s="373"/>
      <c r="F116" s="373"/>
      <c r="G116" s="373"/>
      <c r="H116" s="373"/>
      <c r="I116" s="16">
        <f>I61</f>
        <v>0</v>
      </c>
    </row>
    <row r="117" spans="1:12" x14ac:dyDescent="0.2">
      <c r="A117" s="78" t="s">
        <v>5</v>
      </c>
      <c r="B117" s="373" t="str">
        <f>A63</f>
        <v>MÓDULO 3 – PROVISÃO PARA RESCISÃO</v>
      </c>
      <c r="C117" s="373"/>
      <c r="D117" s="373"/>
      <c r="E117" s="373"/>
      <c r="F117" s="373"/>
      <c r="G117" s="373"/>
      <c r="H117" s="373"/>
      <c r="I117" s="16">
        <f>I71</f>
        <v>9.6000000000000002E-2</v>
      </c>
    </row>
    <row r="118" spans="1:12" x14ac:dyDescent="0.2">
      <c r="A118" s="78" t="s">
        <v>7</v>
      </c>
      <c r="B118" s="373" t="str">
        <f>A73</f>
        <v>MÓDULO 4 – CUSTO DE REPOSIÇÃO DO PROFISSIONAL AUSENTE</v>
      </c>
      <c r="C118" s="373"/>
      <c r="D118" s="373"/>
      <c r="E118" s="373"/>
      <c r="F118" s="373"/>
      <c r="G118" s="373"/>
      <c r="H118" s="373"/>
      <c r="I118" s="16">
        <f>I92</f>
        <v>0</v>
      </c>
    </row>
    <row r="119" spans="1:12" x14ac:dyDescent="0.2">
      <c r="A119" s="78" t="s">
        <v>27</v>
      </c>
      <c r="B119" s="373" t="str">
        <f>A94</f>
        <v>MÓDULO 5 – INSUMOS DIVERSOS</v>
      </c>
      <c r="C119" s="373"/>
      <c r="D119" s="373"/>
      <c r="E119" s="373"/>
      <c r="F119" s="373"/>
      <c r="G119" s="373"/>
      <c r="H119" s="373"/>
      <c r="I119" s="16">
        <f>I100</f>
        <v>0</v>
      </c>
    </row>
    <row r="120" spans="1:12" x14ac:dyDescent="0.2">
      <c r="A120" s="79"/>
      <c r="B120" s="389" t="s">
        <v>100</v>
      </c>
      <c r="C120" s="389"/>
      <c r="D120" s="389"/>
      <c r="E120" s="389"/>
      <c r="F120" s="389"/>
      <c r="G120" s="389"/>
      <c r="H120" s="389"/>
      <c r="I120" s="13">
        <f>(SUM(I115:I119))</f>
        <v>3.0960000000000001</v>
      </c>
    </row>
    <row r="121" spans="1:12" x14ac:dyDescent="0.2">
      <c r="A121" s="78" t="s">
        <v>29</v>
      </c>
      <c r="B121" s="373" t="str">
        <f>A102</f>
        <v>MÓDULO 6 – CUSTOS INDIRETOS, TRIBUTOS E LUCRO</v>
      </c>
      <c r="C121" s="373"/>
      <c r="D121" s="373"/>
      <c r="E121" s="373"/>
      <c r="F121" s="373"/>
      <c r="G121" s="373"/>
      <c r="H121" s="373"/>
      <c r="I121" s="5">
        <f>I110</f>
        <v>0.64802482758620694</v>
      </c>
    </row>
    <row r="122" spans="1:12" x14ac:dyDescent="0.2">
      <c r="A122" s="389" t="s">
        <v>101</v>
      </c>
      <c r="B122" s="389"/>
      <c r="C122" s="389"/>
      <c r="D122" s="389"/>
      <c r="E122" s="389"/>
      <c r="F122" s="389"/>
      <c r="G122" s="389"/>
      <c r="H122" s="389"/>
      <c r="I122" s="13">
        <f>(SUM(I120:I121))</f>
        <v>3.7440248275862071</v>
      </c>
      <c r="K122" s="51"/>
    </row>
    <row r="123" spans="1:12" x14ac:dyDescent="0.2">
      <c r="I123" s="20"/>
      <c r="K123" s="51"/>
    </row>
    <row r="124" spans="1:12" hidden="1" x14ac:dyDescent="0.2">
      <c r="A124" s="81"/>
      <c r="B124" s="379" t="s">
        <v>102</v>
      </c>
      <c r="C124" s="379"/>
      <c r="D124" s="379"/>
      <c r="E124" s="379"/>
      <c r="F124" s="379"/>
      <c r="G124" s="379"/>
      <c r="H124" s="8"/>
      <c r="I124" s="8"/>
      <c r="K124" s="51"/>
    </row>
    <row r="125" spans="1:12" ht="40.5" hidden="1" customHeight="1" x14ac:dyDescent="0.2">
      <c r="A125" s="385" t="s">
        <v>103</v>
      </c>
      <c r="B125" s="385"/>
      <c r="C125" s="385" t="s">
        <v>104</v>
      </c>
      <c r="D125" s="385"/>
      <c r="E125" s="385" t="s">
        <v>105</v>
      </c>
      <c r="F125" s="385"/>
      <c r="G125" s="28" t="s">
        <v>106</v>
      </c>
      <c r="H125" s="82" t="s">
        <v>107</v>
      </c>
      <c r="I125" s="84"/>
      <c r="K125" s="51"/>
    </row>
    <row r="126" spans="1:12" hidden="1" x14ac:dyDescent="0.2">
      <c r="A126" s="386" t="s">
        <v>108</v>
      </c>
      <c r="B126" s="386"/>
      <c r="C126" s="387" t="s">
        <v>109</v>
      </c>
      <c r="D126" s="387"/>
      <c r="E126" s="388"/>
      <c r="F126" s="388"/>
      <c r="G126" s="29" t="s">
        <v>109</v>
      </c>
      <c r="H126" s="30"/>
      <c r="I126" s="31"/>
      <c r="K126" s="51"/>
    </row>
    <row r="127" spans="1:12" hidden="1" x14ac:dyDescent="0.2">
      <c r="A127" s="381" t="s">
        <v>110</v>
      </c>
      <c r="B127" s="381"/>
      <c r="C127" s="382" t="s">
        <v>109</v>
      </c>
      <c r="D127" s="382"/>
      <c r="E127" s="383"/>
      <c r="F127" s="383"/>
      <c r="G127" s="32" t="s">
        <v>109</v>
      </c>
      <c r="H127" s="33"/>
      <c r="I127" s="34"/>
      <c r="K127" s="51"/>
    </row>
    <row r="128" spans="1:12" hidden="1" x14ac:dyDescent="0.2">
      <c r="A128" s="381" t="s">
        <v>111</v>
      </c>
      <c r="B128" s="381"/>
      <c r="C128" s="382" t="s">
        <v>109</v>
      </c>
      <c r="D128" s="382"/>
      <c r="E128" s="383"/>
      <c r="F128" s="383"/>
      <c r="G128" s="32" t="s">
        <v>109</v>
      </c>
      <c r="H128" s="33"/>
      <c r="I128" s="34"/>
      <c r="K128" s="51"/>
    </row>
    <row r="129" spans="1:11" hidden="1" x14ac:dyDescent="0.2">
      <c r="A129" s="381" t="s">
        <v>112</v>
      </c>
      <c r="B129" s="381"/>
      <c r="C129" s="382" t="s">
        <v>109</v>
      </c>
      <c r="D129" s="382"/>
      <c r="E129" s="383"/>
      <c r="F129" s="383"/>
      <c r="G129" s="32" t="s">
        <v>109</v>
      </c>
      <c r="H129" s="33"/>
      <c r="I129" s="34"/>
      <c r="K129" s="51"/>
    </row>
    <row r="130" spans="1:11" hidden="1" x14ac:dyDescent="0.2">
      <c r="A130" s="384"/>
      <c r="B130" s="384"/>
      <c r="C130" s="383"/>
      <c r="D130" s="383"/>
      <c r="E130" s="383"/>
      <c r="F130" s="383"/>
      <c r="G130" s="35"/>
      <c r="H130" s="36"/>
      <c r="I130" s="34"/>
      <c r="K130" s="51"/>
    </row>
    <row r="131" spans="1:11" ht="13.5" hidden="1" thickBot="1" x14ac:dyDescent="0.25">
      <c r="A131" s="376"/>
      <c r="B131" s="376"/>
      <c r="C131" s="377"/>
      <c r="D131" s="377"/>
      <c r="E131" s="377"/>
      <c r="F131" s="377"/>
      <c r="G131" s="37"/>
      <c r="H131" s="38"/>
      <c r="I131" s="39"/>
      <c r="K131" s="51"/>
    </row>
    <row r="132" spans="1:11" ht="13.5" hidden="1" thickBot="1" x14ac:dyDescent="0.25">
      <c r="A132" s="378" t="s">
        <v>113</v>
      </c>
      <c r="B132" s="378"/>
      <c r="C132" s="378"/>
      <c r="D132" s="378"/>
      <c r="E132" s="378"/>
      <c r="F132" s="378"/>
      <c r="G132" s="378"/>
      <c r="H132" s="378"/>
      <c r="I132" s="40"/>
      <c r="K132" s="51"/>
    </row>
    <row r="133" spans="1:11" x14ac:dyDescent="0.2">
      <c r="I133" s="20"/>
    </row>
    <row r="134" spans="1:11" hidden="1" x14ac:dyDescent="0.2">
      <c r="A134" s="81"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83"/>
      <c r="B136" s="371" t="s">
        <v>117</v>
      </c>
      <c r="C136" s="371"/>
      <c r="D136" s="371"/>
      <c r="E136" s="371"/>
      <c r="F136" s="371"/>
      <c r="G136" s="371"/>
      <c r="H136" s="371"/>
      <c r="I136" s="84" t="s">
        <v>22</v>
      </c>
    </row>
    <row r="137" spans="1:11" hidden="1" x14ac:dyDescent="0.2">
      <c r="A137" s="41" t="s">
        <v>1</v>
      </c>
      <c r="B137" s="372" t="s">
        <v>118</v>
      </c>
      <c r="C137" s="372"/>
      <c r="D137" s="372"/>
      <c r="E137" s="372"/>
      <c r="F137" s="372"/>
      <c r="G137" s="372"/>
      <c r="H137" s="372"/>
      <c r="I137" s="42">
        <f>I107</f>
        <v>2.4336161379310342E-2</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0.64802482758620694</v>
      </c>
    </row>
    <row r="140" spans="1:11" ht="13.5" hidden="1" thickBot="1" x14ac:dyDescent="0.25">
      <c r="A140" s="375" t="s">
        <v>121</v>
      </c>
      <c r="B140" s="375"/>
      <c r="C140" s="375"/>
      <c r="D140" s="375"/>
      <c r="E140" s="375"/>
      <c r="F140" s="375"/>
      <c r="G140" s="375"/>
      <c r="H140" s="375"/>
      <c r="I140" s="40" t="e">
        <f>SUM(I137:I139)</f>
        <v>#REF!</v>
      </c>
    </row>
    <row r="141" spans="1:11" hidden="1" x14ac:dyDescent="0.2">
      <c r="A141" s="81" t="s">
        <v>122</v>
      </c>
      <c r="B141" s="45" t="s">
        <v>123</v>
      </c>
    </row>
  </sheetData>
  <mergeCells count="171">
    <mergeCell ref="B136:H136"/>
    <mergeCell ref="B137:H137"/>
    <mergeCell ref="B138:H138"/>
    <mergeCell ref="B139:H139"/>
    <mergeCell ref="A140:H140"/>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27:B127"/>
    <mergeCell ref="C127:D127"/>
    <mergeCell ref="E127:F127"/>
    <mergeCell ref="A128:B128"/>
    <mergeCell ref="C128:D128"/>
    <mergeCell ref="E128:F128"/>
    <mergeCell ref="A122:H122"/>
    <mergeCell ref="B124:G124"/>
    <mergeCell ref="A125:B125"/>
    <mergeCell ref="C125:D125"/>
    <mergeCell ref="E125:F125"/>
    <mergeCell ref="A126:B126"/>
    <mergeCell ref="C126:D126"/>
    <mergeCell ref="E126:F126"/>
    <mergeCell ref="B116:H116"/>
    <mergeCell ref="B117:H117"/>
    <mergeCell ref="B118:H118"/>
    <mergeCell ref="B119:H119"/>
    <mergeCell ref="B120:H120"/>
    <mergeCell ref="B121:H121"/>
    <mergeCell ref="B109:G109"/>
    <mergeCell ref="A110:G110"/>
    <mergeCell ref="B111:I111"/>
    <mergeCell ref="A113:I113"/>
    <mergeCell ref="A114:H114"/>
    <mergeCell ref="B115:H115"/>
    <mergeCell ref="B103:G103"/>
    <mergeCell ref="B104:G104"/>
    <mergeCell ref="B105:G105"/>
    <mergeCell ref="B106:G106"/>
    <mergeCell ref="B107:G107"/>
    <mergeCell ref="B108:G108"/>
    <mergeCell ref="B97:G97"/>
    <mergeCell ref="B98:G98"/>
    <mergeCell ref="B99:G99"/>
    <mergeCell ref="A100:G100"/>
    <mergeCell ref="A101:I101"/>
    <mergeCell ref="A102:I102"/>
    <mergeCell ref="B90:H90"/>
    <mergeCell ref="A92:H92"/>
    <mergeCell ref="A93:I93"/>
    <mergeCell ref="A94:I94"/>
    <mergeCell ref="B95:G95"/>
    <mergeCell ref="B96:G96"/>
    <mergeCell ref="B91:H91"/>
    <mergeCell ref="B84:G84"/>
    <mergeCell ref="A85:G85"/>
    <mergeCell ref="A86:I86"/>
    <mergeCell ref="A87:I87"/>
    <mergeCell ref="A88:H88"/>
    <mergeCell ref="B89:H89"/>
    <mergeCell ref="B78:G78"/>
    <mergeCell ref="B79:G79"/>
    <mergeCell ref="B80:G80"/>
    <mergeCell ref="A81:G81"/>
    <mergeCell ref="A82:I82"/>
    <mergeCell ref="A83:G83"/>
    <mergeCell ref="A72:I72"/>
    <mergeCell ref="A73:I73"/>
    <mergeCell ref="A74:G74"/>
    <mergeCell ref="B75:G75"/>
    <mergeCell ref="B76:G76"/>
    <mergeCell ref="B77:G77"/>
    <mergeCell ref="B66:G66"/>
    <mergeCell ref="B67:G67"/>
    <mergeCell ref="B68:G68"/>
    <mergeCell ref="B69:G69"/>
    <mergeCell ref="B70:G70"/>
    <mergeCell ref="A71:G71"/>
    <mergeCell ref="B60:H60"/>
    <mergeCell ref="A61:H61"/>
    <mergeCell ref="A62:I62"/>
    <mergeCell ref="A63:I63"/>
    <mergeCell ref="B64:G64"/>
    <mergeCell ref="B65:G65"/>
    <mergeCell ref="A54:H54"/>
    <mergeCell ref="A55:I55"/>
    <mergeCell ref="A56:I56"/>
    <mergeCell ref="A57:H57"/>
    <mergeCell ref="B58:H58"/>
    <mergeCell ref="B59:H59"/>
    <mergeCell ref="A48:G48"/>
    <mergeCell ref="B49:G49"/>
    <mergeCell ref="B50:G50"/>
    <mergeCell ref="B51:G51"/>
    <mergeCell ref="B52:G52"/>
    <mergeCell ref="B53:G53"/>
    <mergeCell ref="B42:G42"/>
    <mergeCell ref="B43:G43"/>
    <mergeCell ref="B44:G44"/>
    <mergeCell ref="B45:G45"/>
    <mergeCell ref="A46:G46"/>
    <mergeCell ref="A47:I47"/>
    <mergeCell ref="B33:G33"/>
    <mergeCell ref="B34:G34"/>
    <mergeCell ref="A35:G35"/>
    <mergeCell ref="A36:I36"/>
    <mergeCell ref="A37:G37"/>
    <mergeCell ref="K37:K45"/>
    <mergeCell ref="B38:G38"/>
    <mergeCell ref="B39:G39"/>
    <mergeCell ref="B40:G40"/>
    <mergeCell ref="B41:G41"/>
    <mergeCell ref="B26:G26"/>
    <mergeCell ref="B27:G27"/>
    <mergeCell ref="A28:H28"/>
    <mergeCell ref="A30:I30"/>
    <mergeCell ref="A31:G31"/>
    <mergeCell ref="B32:G32"/>
    <mergeCell ref="B20:G20"/>
    <mergeCell ref="B21:G21"/>
    <mergeCell ref="B22:G22"/>
    <mergeCell ref="B23:G23"/>
    <mergeCell ref="B24:G24"/>
    <mergeCell ref="B25:G25"/>
    <mergeCell ref="B14:H14"/>
    <mergeCell ref="B15:H15"/>
    <mergeCell ref="B16:H16"/>
    <mergeCell ref="B17:H17"/>
    <mergeCell ref="A18:I18"/>
    <mergeCell ref="A19:I19"/>
    <mergeCell ref="L11:Q11"/>
    <mergeCell ref="R11:S11"/>
    <mergeCell ref="A12:I12"/>
    <mergeCell ref="L12:Q12"/>
    <mergeCell ref="R12:S12"/>
    <mergeCell ref="B13:H13"/>
    <mergeCell ref="A9:B9"/>
    <mergeCell ref="C9:D9"/>
    <mergeCell ref="E9:I9"/>
    <mergeCell ref="L9:Q9"/>
    <mergeCell ref="R9:S9"/>
    <mergeCell ref="A10:B10"/>
    <mergeCell ref="C10:D10"/>
    <mergeCell ref="E10:I10"/>
    <mergeCell ref="L10:Q10"/>
    <mergeCell ref="R10:S10"/>
    <mergeCell ref="A2:I2"/>
    <mergeCell ref="B5:H5"/>
    <mergeCell ref="K5:S5"/>
    <mergeCell ref="B6:H6"/>
    <mergeCell ref="K6:S6"/>
    <mergeCell ref="K7:S7"/>
    <mergeCell ref="A8:I8"/>
    <mergeCell ref="K8:S8"/>
    <mergeCell ref="K2:S2"/>
    <mergeCell ref="B3:H3"/>
    <mergeCell ref="L3:M3"/>
    <mergeCell ref="N3:Q3"/>
    <mergeCell ref="R3:S3"/>
    <mergeCell ref="B4:H4"/>
    <mergeCell ref="L4:M4"/>
    <mergeCell ref="N4:Q4"/>
    <mergeCell ref="R4:S4"/>
  </mergeCells>
  <pageMargins left="0.25" right="0.25" top="0.75" bottom="0.75" header="0.3" footer="0.3"/>
  <pageSetup paperSize="9" firstPageNumber="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78A13-DF49-4F5D-940C-1092E9446BB5}">
  <sheetPr>
    <tabColor rgb="FFFFFF00"/>
  </sheetPr>
  <dimension ref="A2:S124"/>
  <sheetViews>
    <sheetView tabSelected="1" topLeftCell="A100" zoomScale="118" zoomScaleNormal="118" workbookViewId="0">
      <selection activeCell="I104" sqref="I104"/>
    </sheetView>
  </sheetViews>
  <sheetFormatPr defaultColWidth="9.140625" defaultRowHeight="12.75" x14ac:dyDescent="0.2"/>
  <cols>
    <col min="1"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78" t="s">
        <v>1</v>
      </c>
      <c r="B3" s="373" t="s">
        <v>2</v>
      </c>
      <c r="C3" s="373"/>
      <c r="D3" s="373"/>
      <c r="E3" s="373"/>
      <c r="F3" s="373"/>
      <c r="G3" s="373"/>
      <c r="H3" s="373"/>
      <c r="I3" s="1">
        <v>44182</v>
      </c>
      <c r="K3" s="77"/>
      <c r="L3" s="410"/>
      <c r="M3" s="410"/>
      <c r="N3" s="410"/>
      <c r="O3" s="410"/>
      <c r="P3" s="410"/>
      <c r="Q3" s="410"/>
      <c r="R3" s="416"/>
      <c r="S3" s="416"/>
    </row>
    <row r="4" spans="1:19" x14ac:dyDescent="0.2">
      <c r="A4" s="78" t="s">
        <v>3</v>
      </c>
      <c r="B4" s="373" t="s">
        <v>4</v>
      </c>
      <c r="C4" s="373"/>
      <c r="D4" s="373"/>
      <c r="E4" s="373"/>
      <c r="F4" s="373"/>
      <c r="G4" s="373"/>
      <c r="H4" s="373"/>
      <c r="I4" s="78" t="s">
        <v>183</v>
      </c>
      <c r="K4" s="77"/>
      <c r="L4" s="407"/>
      <c r="M4" s="407"/>
      <c r="N4" s="410"/>
      <c r="O4" s="410"/>
      <c r="P4" s="410"/>
      <c r="Q4" s="410"/>
      <c r="R4" s="410"/>
      <c r="S4" s="410"/>
    </row>
    <row r="5" spans="1:19" x14ac:dyDescent="0.2">
      <c r="A5" s="78" t="s">
        <v>5</v>
      </c>
      <c r="B5" s="373" t="s">
        <v>6</v>
      </c>
      <c r="C5" s="373"/>
      <c r="D5" s="373"/>
      <c r="E5" s="373"/>
      <c r="F5" s="373"/>
      <c r="G5" s="373"/>
      <c r="H5" s="373"/>
      <c r="I5" s="78">
        <v>2020</v>
      </c>
      <c r="K5" s="414"/>
      <c r="L5" s="414"/>
      <c r="M5" s="414"/>
      <c r="N5" s="414"/>
      <c r="O5" s="414"/>
      <c r="P5" s="414"/>
      <c r="Q5" s="414"/>
      <c r="R5" s="414"/>
      <c r="S5" s="414"/>
    </row>
    <row r="6" spans="1:19" x14ac:dyDescent="0.2">
      <c r="A6" s="78" t="s">
        <v>7</v>
      </c>
      <c r="B6" s="373" t="s">
        <v>8</v>
      </c>
      <c r="C6" s="373"/>
      <c r="D6" s="373"/>
      <c r="E6" s="373"/>
      <c r="F6" s="373"/>
      <c r="G6" s="373"/>
      <c r="H6" s="373"/>
      <c r="I6" s="78">
        <v>12</v>
      </c>
      <c r="K6" s="414"/>
      <c r="L6" s="414"/>
      <c r="M6" s="414"/>
      <c r="N6" s="414"/>
      <c r="O6" s="414"/>
      <c r="P6" s="414"/>
      <c r="Q6" s="414"/>
      <c r="R6" s="414"/>
      <c r="S6" s="414"/>
    </row>
    <row r="7" spans="1:19" x14ac:dyDescent="0.2">
      <c r="A7" s="81"/>
      <c r="B7" s="80"/>
      <c r="C7" s="80"/>
      <c r="D7" s="80"/>
      <c r="E7" s="80"/>
      <c r="F7" s="80"/>
      <c r="G7" s="80"/>
      <c r="H7" s="81"/>
      <c r="I7" s="81"/>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77"/>
      <c r="L9" s="406"/>
      <c r="M9" s="406"/>
      <c r="N9" s="406"/>
      <c r="O9" s="406"/>
      <c r="P9" s="406"/>
      <c r="Q9" s="406"/>
      <c r="R9" s="410"/>
      <c r="S9" s="410"/>
    </row>
    <row r="10" spans="1:19" ht="27" customHeight="1" x14ac:dyDescent="0.2">
      <c r="A10" s="411" t="s">
        <v>168</v>
      </c>
      <c r="B10" s="411"/>
      <c r="C10" s="370"/>
      <c r="D10" s="370"/>
      <c r="E10" s="412">
        <v>1</v>
      </c>
      <c r="F10" s="412"/>
      <c r="G10" s="412"/>
      <c r="H10" s="412"/>
      <c r="I10" s="412"/>
      <c r="K10" s="76"/>
      <c r="L10" s="408"/>
      <c r="M10" s="408"/>
      <c r="N10" s="408"/>
      <c r="O10" s="408"/>
      <c r="P10" s="408"/>
      <c r="Q10" s="408"/>
      <c r="R10" s="413"/>
      <c r="S10" s="413"/>
    </row>
    <row r="11" spans="1:19" x14ac:dyDescent="0.2">
      <c r="A11" s="81"/>
      <c r="B11" s="80"/>
      <c r="C11" s="80"/>
      <c r="D11" s="80"/>
      <c r="E11" s="80"/>
      <c r="F11" s="80"/>
      <c r="G11" s="80"/>
      <c r="H11" s="81"/>
      <c r="I11" s="81"/>
      <c r="K11" s="77"/>
      <c r="L11" s="406"/>
      <c r="M11" s="406"/>
      <c r="N11" s="406"/>
      <c r="O11" s="406"/>
      <c r="P11" s="406"/>
      <c r="Q11" s="406"/>
      <c r="R11" s="407"/>
      <c r="S11" s="407"/>
    </row>
    <row r="12" spans="1:19" x14ac:dyDescent="0.2">
      <c r="A12" s="395" t="s">
        <v>13</v>
      </c>
      <c r="B12" s="395"/>
      <c r="C12" s="395"/>
      <c r="D12" s="395"/>
      <c r="E12" s="395"/>
      <c r="F12" s="395"/>
      <c r="G12" s="395"/>
      <c r="H12" s="395"/>
      <c r="I12" s="395"/>
      <c r="K12" s="76"/>
      <c r="L12" s="408"/>
      <c r="M12" s="408"/>
      <c r="N12" s="408"/>
      <c r="O12" s="408"/>
      <c r="P12" s="408"/>
      <c r="Q12" s="408"/>
      <c r="R12" s="409"/>
      <c r="S12" s="409"/>
    </row>
    <row r="13" spans="1:19" x14ac:dyDescent="0.2">
      <c r="A13" s="78">
        <v>1</v>
      </c>
      <c r="B13" s="373" t="s">
        <v>14</v>
      </c>
      <c r="C13" s="373"/>
      <c r="D13" s="373"/>
      <c r="E13" s="373"/>
      <c r="F13" s="373"/>
      <c r="G13" s="373"/>
      <c r="H13" s="373"/>
      <c r="I13" s="50" t="s">
        <v>184</v>
      </c>
      <c r="K13" s="2"/>
      <c r="L13" s="2"/>
      <c r="M13" s="2"/>
      <c r="N13" s="2"/>
      <c r="O13" s="2"/>
      <c r="P13" s="2"/>
      <c r="Q13" s="2"/>
      <c r="R13" s="2"/>
      <c r="S13" s="2"/>
    </row>
    <row r="14" spans="1:19" x14ac:dyDescent="0.2">
      <c r="A14" s="78">
        <v>2</v>
      </c>
      <c r="B14" s="373" t="s">
        <v>15</v>
      </c>
      <c r="C14" s="373"/>
      <c r="D14" s="373"/>
      <c r="E14" s="373"/>
      <c r="F14" s="373"/>
      <c r="G14" s="373"/>
      <c r="H14" s="373"/>
      <c r="I14" s="78"/>
    </row>
    <row r="15" spans="1:19" x14ac:dyDescent="0.2">
      <c r="A15" s="78">
        <v>3</v>
      </c>
      <c r="B15" s="373" t="s">
        <v>16</v>
      </c>
      <c r="C15" s="373"/>
      <c r="D15" s="373"/>
      <c r="E15" s="373"/>
      <c r="F15" s="373"/>
      <c r="G15" s="373"/>
      <c r="H15" s="373"/>
      <c r="I15" s="3">
        <v>100</v>
      </c>
    </row>
    <row r="16" spans="1:19" x14ac:dyDescent="0.2">
      <c r="A16" s="78">
        <v>4</v>
      </c>
      <c r="B16" s="373" t="s">
        <v>17</v>
      </c>
      <c r="C16" s="373"/>
      <c r="D16" s="373"/>
      <c r="E16" s="373"/>
      <c r="F16" s="373"/>
      <c r="G16" s="373"/>
      <c r="H16" s="373"/>
      <c r="I16" s="1" t="str">
        <f>A10</f>
        <v>DESLOCAMENTO COM PERNOITE</v>
      </c>
    </row>
    <row r="17" spans="1:12" x14ac:dyDescent="0.2">
      <c r="A17" s="78">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79">
        <v>1</v>
      </c>
      <c r="B20" s="389" t="s">
        <v>20</v>
      </c>
      <c r="C20" s="389"/>
      <c r="D20" s="389"/>
      <c r="E20" s="389"/>
      <c r="F20" s="389"/>
      <c r="G20" s="389"/>
      <c r="H20" s="79" t="s">
        <v>21</v>
      </c>
      <c r="I20" s="79" t="s">
        <v>22</v>
      </c>
    </row>
    <row r="21" spans="1:12" x14ac:dyDescent="0.2">
      <c r="A21" s="79" t="s">
        <v>1</v>
      </c>
      <c r="B21" s="373" t="s">
        <v>23</v>
      </c>
      <c r="C21" s="373"/>
      <c r="D21" s="373"/>
      <c r="E21" s="373"/>
      <c r="F21" s="373"/>
      <c r="G21" s="373"/>
      <c r="H21" s="4"/>
      <c r="I21" s="5">
        <f>I15</f>
        <v>100</v>
      </c>
      <c r="L21" s="20">
        <f>I35+I46+I71+I81</f>
        <v>3.1999999999999997</v>
      </c>
    </row>
    <row r="22" spans="1:12" x14ac:dyDescent="0.2">
      <c r="A22" s="79" t="s">
        <v>3</v>
      </c>
      <c r="B22" s="373" t="s">
        <v>24</v>
      </c>
      <c r="C22" s="373"/>
      <c r="D22" s="373"/>
      <c r="E22" s="373"/>
      <c r="F22" s="373"/>
      <c r="G22" s="373"/>
      <c r="H22" s="6"/>
      <c r="I22" s="5">
        <v>0</v>
      </c>
      <c r="L22" s="53">
        <f>L21/I28</f>
        <v>3.2000000000000001E-2</v>
      </c>
    </row>
    <row r="23" spans="1:12" x14ac:dyDescent="0.2">
      <c r="A23" s="79" t="s">
        <v>5</v>
      </c>
      <c r="B23" s="373" t="s">
        <v>25</v>
      </c>
      <c r="C23" s="373"/>
      <c r="D23" s="373"/>
      <c r="E23" s="373"/>
      <c r="F23" s="373"/>
      <c r="G23" s="373"/>
      <c r="H23" s="6">
        <v>0</v>
      </c>
      <c r="I23" s="5">
        <f>I21*H23</f>
        <v>0</v>
      </c>
    </row>
    <row r="24" spans="1:12" x14ac:dyDescent="0.2">
      <c r="A24" s="79" t="s">
        <v>7</v>
      </c>
      <c r="B24" s="373" t="s">
        <v>26</v>
      </c>
      <c r="C24" s="373"/>
      <c r="D24" s="373"/>
      <c r="E24" s="373"/>
      <c r="F24" s="373"/>
      <c r="G24" s="373"/>
      <c r="H24" s="6"/>
      <c r="I24" s="5">
        <v>0</v>
      </c>
    </row>
    <row r="25" spans="1:12" x14ac:dyDescent="0.2">
      <c r="A25" s="79" t="s">
        <v>27</v>
      </c>
      <c r="B25" s="373" t="s">
        <v>28</v>
      </c>
      <c r="C25" s="373"/>
      <c r="D25" s="373"/>
      <c r="E25" s="373"/>
      <c r="F25" s="373"/>
      <c r="G25" s="373"/>
      <c r="H25" s="6"/>
      <c r="I25" s="5">
        <v>0</v>
      </c>
    </row>
    <row r="26" spans="1:12" x14ac:dyDescent="0.2">
      <c r="A26" s="79" t="s">
        <v>29</v>
      </c>
      <c r="B26" s="373" t="s">
        <v>30</v>
      </c>
      <c r="C26" s="373"/>
      <c r="D26" s="373"/>
      <c r="E26" s="373"/>
      <c r="F26" s="373"/>
      <c r="G26" s="373"/>
      <c r="H26" s="6"/>
      <c r="I26" s="5">
        <v>0</v>
      </c>
    </row>
    <row r="27" spans="1:12" x14ac:dyDescent="0.2">
      <c r="A27" s="79"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100</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79" t="s">
        <v>21</v>
      </c>
      <c r="I31" s="79" t="s">
        <v>22</v>
      </c>
      <c r="J31" s="48"/>
    </row>
    <row r="32" spans="1:12" x14ac:dyDescent="0.2">
      <c r="A32" s="79" t="s">
        <v>1</v>
      </c>
      <c r="B32" s="373" t="s">
        <v>36</v>
      </c>
      <c r="C32" s="373"/>
      <c r="D32" s="373"/>
      <c r="E32" s="373"/>
      <c r="F32" s="373"/>
      <c r="G32" s="373"/>
      <c r="H32" s="10">
        <v>0</v>
      </c>
      <c r="I32" s="5">
        <f>$I$28*H32</f>
        <v>0</v>
      </c>
      <c r="J32" s="48"/>
    </row>
    <row r="33" spans="1:11" x14ac:dyDescent="0.2">
      <c r="A33" s="79" t="s">
        <v>3</v>
      </c>
      <c r="B33" s="373" t="s">
        <v>185</v>
      </c>
      <c r="C33" s="373"/>
      <c r="D33" s="373"/>
      <c r="E33" s="373"/>
      <c r="F33" s="373"/>
      <c r="G33" s="373"/>
      <c r="H33" s="11">
        <v>0</v>
      </c>
      <c r="I33" s="5">
        <f>H33*I28</f>
        <v>0</v>
      </c>
      <c r="J33" s="48"/>
    </row>
    <row r="34" spans="1:11" x14ac:dyDescent="0.2">
      <c r="A34" s="79" t="s">
        <v>132</v>
      </c>
      <c r="B34" s="373" t="s">
        <v>133</v>
      </c>
      <c r="C34" s="373"/>
      <c r="D34" s="373"/>
      <c r="E34" s="373"/>
      <c r="F34" s="373"/>
      <c r="G34" s="373"/>
      <c r="H34" s="11">
        <f>(H32+H33)*H46</f>
        <v>0</v>
      </c>
      <c r="I34" s="5">
        <f>I28*H34</f>
        <v>0</v>
      </c>
      <c r="J34" s="48"/>
    </row>
    <row r="35" spans="1:11" x14ac:dyDescent="0.2">
      <c r="A35" s="389" t="s">
        <v>37</v>
      </c>
      <c r="B35" s="389"/>
      <c r="C35" s="389"/>
      <c r="D35" s="389"/>
      <c r="E35" s="389"/>
      <c r="F35" s="389"/>
      <c r="G35" s="389"/>
      <c r="H35" s="12">
        <f>TRUNC(SUM(H32:H33),4)</f>
        <v>0</v>
      </c>
      <c r="I35" s="13">
        <f>SUM(I32:I34)</f>
        <v>0</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79" t="s">
        <v>21</v>
      </c>
      <c r="I37" s="79" t="s">
        <v>22</v>
      </c>
      <c r="J37" s="48"/>
      <c r="K37" s="404"/>
    </row>
    <row r="38" spans="1:11" x14ac:dyDescent="0.2">
      <c r="A38" s="79" t="s">
        <v>1</v>
      </c>
      <c r="B38" s="373" t="s">
        <v>39</v>
      </c>
      <c r="C38" s="373"/>
      <c r="D38" s="373"/>
      <c r="E38" s="373"/>
      <c r="F38" s="373"/>
      <c r="G38" s="373"/>
      <c r="H38" s="10">
        <v>0</v>
      </c>
      <c r="I38" s="5">
        <f>($I$28)*H38</f>
        <v>0</v>
      </c>
      <c r="J38" s="48"/>
      <c r="K38" s="404"/>
    </row>
    <row r="39" spans="1:11" x14ac:dyDescent="0.2">
      <c r="A39" s="79" t="s">
        <v>3</v>
      </c>
      <c r="B39" s="373" t="s">
        <v>40</v>
      </c>
      <c r="C39" s="373"/>
      <c r="D39" s="373"/>
      <c r="E39" s="373"/>
      <c r="F39" s="373"/>
      <c r="G39" s="373"/>
      <c r="H39" s="10">
        <v>0</v>
      </c>
      <c r="I39" s="5">
        <f t="shared" ref="I39:I45" si="0">($I$28)*H39</f>
        <v>0</v>
      </c>
      <c r="J39" s="48"/>
      <c r="K39" s="404"/>
    </row>
    <row r="40" spans="1:11" x14ac:dyDescent="0.2">
      <c r="A40" s="79" t="s">
        <v>5</v>
      </c>
      <c r="B40" s="373" t="s">
        <v>41</v>
      </c>
      <c r="C40" s="373"/>
      <c r="D40" s="373"/>
      <c r="E40" s="373"/>
      <c r="F40" s="373"/>
      <c r="G40" s="373"/>
      <c r="H40" s="10">
        <v>0</v>
      </c>
      <c r="I40" s="5">
        <f t="shared" si="0"/>
        <v>0</v>
      </c>
      <c r="J40" s="48"/>
      <c r="K40" s="404"/>
    </row>
    <row r="41" spans="1:11" x14ac:dyDescent="0.2">
      <c r="A41" s="79" t="s">
        <v>7</v>
      </c>
      <c r="B41" s="373" t="s">
        <v>42</v>
      </c>
      <c r="C41" s="373"/>
      <c r="D41" s="373"/>
      <c r="E41" s="373"/>
      <c r="F41" s="373"/>
      <c r="G41" s="373"/>
      <c r="H41" s="10">
        <v>0</v>
      </c>
      <c r="I41" s="5">
        <f t="shared" si="0"/>
        <v>0</v>
      </c>
      <c r="J41" s="48"/>
      <c r="K41" s="404"/>
    </row>
    <row r="42" spans="1:11" x14ac:dyDescent="0.2">
      <c r="A42" s="79" t="s">
        <v>27</v>
      </c>
      <c r="B42" s="373" t="s">
        <v>43</v>
      </c>
      <c r="C42" s="373"/>
      <c r="D42" s="373"/>
      <c r="E42" s="373"/>
      <c r="F42" s="373"/>
      <c r="G42" s="373"/>
      <c r="H42" s="10">
        <v>0</v>
      </c>
      <c r="I42" s="5">
        <f t="shared" si="0"/>
        <v>0</v>
      </c>
      <c r="J42" s="48"/>
      <c r="K42" s="404"/>
    </row>
    <row r="43" spans="1:11" x14ac:dyDescent="0.2">
      <c r="A43" s="79" t="s">
        <v>29</v>
      </c>
      <c r="B43" s="373" t="s">
        <v>44</v>
      </c>
      <c r="C43" s="373"/>
      <c r="D43" s="373"/>
      <c r="E43" s="373"/>
      <c r="F43" s="373"/>
      <c r="G43" s="373"/>
      <c r="H43" s="10">
        <v>0</v>
      </c>
      <c r="I43" s="5">
        <f t="shared" si="0"/>
        <v>0</v>
      </c>
      <c r="J43" s="48"/>
      <c r="K43" s="404"/>
    </row>
    <row r="44" spans="1:11" x14ac:dyDescent="0.2">
      <c r="A44" s="79" t="s">
        <v>31</v>
      </c>
      <c r="B44" s="373" t="s">
        <v>45</v>
      </c>
      <c r="C44" s="373"/>
      <c r="D44" s="373"/>
      <c r="E44" s="373"/>
      <c r="F44" s="373"/>
      <c r="G44" s="373"/>
      <c r="H44" s="10">
        <v>0</v>
      </c>
      <c r="I44" s="5">
        <f t="shared" si="0"/>
        <v>0</v>
      </c>
      <c r="J44" s="48"/>
      <c r="K44" s="404"/>
    </row>
    <row r="45" spans="1:11" x14ac:dyDescent="0.2">
      <c r="A45" s="79" t="s">
        <v>46</v>
      </c>
      <c r="B45" s="373" t="s">
        <v>47</v>
      </c>
      <c r="C45" s="373"/>
      <c r="D45" s="373"/>
      <c r="E45" s="373"/>
      <c r="F45" s="373"/>
      <c r="G45" s="373"/>
      <c r="H45" s="10">
        <v>0</v>
      </c>
      <c r="I45" s="5">
        <f t="shared" si="0"/>
        <v>0</v>
      </c>
      <c r="J45" s="48"/>
      <c r="K45" s="404"/>
    </row>
    <row r="46" spans="1:11" x14ac:dyDescent="0.2">
      <c r="A46" s="389" t="s">
        <v>48</v>
      </c>
      <c r="B46" s="389"/>
      <c r="C46" s="389"/>
      <c r="D46" s="389"/>
      <c r="E46" s="389"/>
      <c r="F46" s="389"/>
      <c r="G46" s="389"/>
      <c r="H46" s="12">
        <f>SUM(H38:H45)</f>
        <v>0</v>
      </c>
      <c r="I46" s="13">
        <f>(SUM(I38:I45))</f>
        <v>0</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79" t="s">
        <v>22</v>
      </c>
      <c r="J48" s="48"/>
    </row>
    <row r="49" spans="1:10" x14ac:dyDescent="0.2">
      <c r="A49" s="79" t="s">
        <v>1</v>
      </c>
      <c r="B49" s="393" t="s">
        <v>125</v>
      </c>
      <c r="C49" s="393"/>
      <c r="D49" s="393"/>
      <c r="E49" s="393"/>
      <c r="F49" s="393"/>
      <c r="G49" s="393"/>
      <c r="H49" s="55">
        <v>4</v>
      </c>
      <c r="I49" s="14">
        <v>0</v>
      </c>
      <c r="J49" s="48"/>
    </row>
    <row r="50" spans="1:10" x14ac:dyDescent="0.2">
      <c r="A50" s="79" t="s">
        <v>3</v>
      </c>
      <c r="B50" s="393" t="s">
        <v>124</v>
      </c>
      <c r="C50" s="393"/>
      <c r="D50" s="393"/>
      <c r="E50" s="393"/>
      <c r="F50" s="393"/>
      <c r="G50" s="393"/>
      <c r="H50" s="55">
        <v>418</v>
      </c>
      <c r="I50" s="15">
        <v>0</v>
      </c>
      <c r="J50" s="49"/>
    </row>
    <row r="51" spans="1:10" x14ac:dyDescent="0.2">
      <c r="A51" s="79" t="s">
        <v>5</v>
      </c>
      <c r="B51" s="393" t="s">
        <v>126</v>
      </c>
      <c r="C51" s="393"/>
      <c r="D51" s="393"/>
      <c r="E51" s="393"/>
      <c r="F51" s="393"/>
      <c r="G51" s="393"/>
      <c r="H51" s="55">
        <v>0</v>
      </c>
      <c r="I51" s="14">
        <f>H51</f>
        <v>0</v>
      </c>
      <c r="J51" s="48"/>
    </row>
    <row r="52" spans="1:10" x14ac:dyDescent="0.2">
      <c r="A52" s="79" t="s">
        <v>7</v>
      </c>
      <c r="B52" s="397" t="s">
        <v>127</v>
      </c>
      <c r="C52" s="398"/>
      <c r="D52" s="398"/>
      <c r="E52" s="398"/>
      <c r="F52" s="398"/>
      <c r="G52" s="399"/>
      <c r="H52" s="55">
        <v>0</v>
      </c>
      <c r="I52" s="14">
        <f>H52</f>
        <v>0</v>
      </c>
      <c r="J52" s="48"/>
    </row>
    <row r="53" spans="1:10" x14ac:dyDescent="0.2">
      <c r="A53" s="79" t="s">
        <v>27</v>
      </c>
      <c r="B53" s="373" t="s">
        <v>131</v>
      </c>
      <c r="C53" s="373"/>
      <c r="D53" s="373"/>
      <c r="E53" s="373"/>
      <c r="F53" s="373"/>
      <c r="G53" s="373"/>
      <c r="H53" s="55">
        <v>8</v>
      </c>
      <c r="I53" s="14">
        <v>0</v>
      </c>
      <c r="J53" s="48"/>
    </row>
    <row r="54" spans="1:10" x14ac:dyDescent="0.2">
      <c r="A54" s="389" t="s">
        <v>51</v>
      </c>
      <c r="B54" s="389"/>
      <c r="C54" s="389"/>
      <c r="D54" s="389"/>
      <c r="E54" s="389"/>
      <c r="F54" s="389"/>
      <c r="G54" s="389"/>
      <c r="H54" s="389"/>
      <c r="I54" s="13">
        <f>(SUM(I49:I53))</f>
        <v>0</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79" t="s">
        <v>22</v>
      </c>
      <c r="J57" s="48"/>
    </row>
    <row r="58" spans="1:10" x14ac:dyDescent="0.2">
      <c r="A58" s="79" t="s">
        <v>54</v>
      </c>
      <c r="B58" s="370" t="s">
        <v>55</v>
      </c>
      <c r="C58" s="370"/>
      <c r="D58" s="370"/>
      <c r="E58" s="370"/>
      <c r="F58" s="370"/>
      <c r="G58" s="370"/>
      <c r="H58" s="370"/>
      <c r="I58" s="16">
        <f>I35</f>
        <v>0</v>
      </c>
      <c r="J58" s="48"/>
    </row>
    <row r="59" spans="1:10" x14ac:dyDescent="0.2">
      <c r="A59" s="79" t="s">
        <v>56</v>
      </c>
      <c r="B59" s="370" t="s">
        <v>57</v>
      </c>
      <c r="C59" s="370"/>
      <c r="D59" s="370"/>
      <c r="E59" s="370"/>
      <c r="F59" s="370"/>
      <c r="G59" s="370"/>
      <c r="H59" s="370"/>
      <c r="I59" s="16">
        <f>I46</f>
        <v>0</v>
      </c>
      <c r="J59" s="48"/>
    </row>
    <row r="60" spans="1:10" x14ac:dyDescent="0.2">
      <c r="A60" s="79" t="s">
        <v>58</v>
      </c>
      <c r="B60" s="370" t="s">
        <v>59</v>
      </c>
      <c r="C60" s="370"/>
      <c r="D60" s="370"/>
      <c r="E60" s="370"/>
      <c r="F60" s="370"/>
      <c r="G60" s="370"/>
      <c r="H60" s="370"/>
      <c r="I60" s="16">
        <f>I54</f>
        <v>0</v>
      </c>
      <c r="J60" s="48"/>
    </row>
    <row r="61" spans="1:10" x14ac:dyDescent="0.2">
      <c r="A61" s="389" t="s">
        <v>60</v>
      </c>
      <c r="B61" s="389"/>
      <c r="C61" s="389"/>
      <c r="D61" s="389"/>
      <c r="E61" s="389"/>
      <c r="F61" s="389"/>
      <c r="G61" s="389"/>
      <c r="H61" s="389"/>
      <c r="I61" s="13">
        <f>(SUM(I58:I60))</f>
        <v>0</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79">
        <v>3</v>
      </c>
      <c r="B64" s="389" t="s">
        <v>62</v>
      </c>
      <c r="C64" s="389"/>
      <c r="D64" s="389"/>
      <c r="E64" s="389"/>
      <c r="F64" s="389"/>
      <c r="G64" s="389"/>
      <c r="H64" s="79" t="s">
        <v>21</v>
      </c>
      <c r="I64" s="79" t="s">
        <v>22</v>
      </c>
      <c r="J64" s="48"/>
    </row>
    <row r="65" spans="1:11" x14ac:dyDescent="0.2">
      <c r="A65" s="79" t="s">
        <v>1</v>
      </c>
      <c r="B65" s="373" t="s">
        <v>63</v>
      </c>
      <c r="C65" s="373"/>
      <c r="D65" s="373"/>
      <c r="E65" s="373"/>
      <c r="F65" s="373"/>
      <c r="G65" s="373"/>
      <c r="H65" s="17">
        <v>0</v>
      </c>
      <c r="I65" s="16">
        <f>$I$28*H65</f>
        <v>0</v>
      </c>
      <c r="J65" s="48"/>
    </row>
    <row r="66" spans="1:11" x14ac:dyDescent="0.2">
      <c r="A66" s="79" t="s">
        <v>3</v>
      </c>
      <c r="B66" s="373" t="s">
        <v>64</v>
      </c>
      <c r="C66" s="373"/>
      <c r="D66" s="373"/>
      <c r="E66" s="373"/>
      <c r="F66" s="373"/>
      <c r="G66" s="373"/>
      <c r="H66" s="17">
        <v>0</v>
      </c>
      <c r="I66" s="5">
        <f>H66*I28</f>
        <v>0</v>
      </c>
      <c r="J66" s="48"/>
    </row>
    <row r="67" spans="1:11" x14ac:dyDescent="0.2">
      <c r="A67" s="79" t="s">
        <v>5</v>
      </c>
      <c r="B67" s="373" t="s">
        <v>65</v>
      </c>
      <c r="C67" s="373"/>
      <c r="D67" s="373"/>
      <c r="E67" s="373"/>
      <c r="F67" s="373"/>
      <c r="G67" s="373"/>
      <c r="H67" s="17">
        <v>0.01</v>
      </c>
      <c r="I67" s="5">
        <f>$I$28*H67</f>
        <v>1</v>
      </c>
      <c r="J67" s="48"/>
    </row>
    <row r="68" spans="1:11" x14ac:dyDescent="0.2">
      <c r="A68" s="79" t="s">
        <v>7</v>
      </c>
      <c r="B68" s="373" t="s">
        <v>66</v>
      </c>
      <c r="C68" s="373"/>
      <c r="D68" s="373"/>
      <c r="E68" s="373"/>
      <c r="F68" s="373"/>
      <c r="G68" s="373"/>
      <c r="H68" s="17">
        <v>0</v>
      </c>
      <c r="I68" s="5">
        <f>$I$28*H68</f>
        <v>0</v>
      </c>
      <c r="J68" s="48"/>
    </row>
    <row r="69" spans="1:11" x14ac:dyDescent="0.2">
      <c r="A69" s="79" t="s">
        <v>27</v>
      </c>
      <c r="B69" s="373" t="s">
        <v>67</v>
      </c>
      <c r="C69" s="373"/>
      <c r="D69" s="373"/>
      <c r="E69" s="373"/>
      <c r="F69" s="373"/>
      <c r="G69" s="373"/>
      <c r="H69" s="17">
        <v>0</v>
      </c>
      <c r="I69" s="5">
        <f>$I$28*H69</f>
        <v>0</v>
      </c>
      <c r="J69" s="48"/>
    </row>
    <row r="70" spans="1:11" x14ac:dyDescent="0.2">
      <c r="A70" s="79" t="s">
        <v>29</v>
      </c>
      <c r="B70" s="373" t="s">
        <v>68</v>
      </c>
      <c r="C70" s="373"/>
      <c r="D70" s="373"/>
      <c r="E70" s="373"/>
      <c r="F70" s="373"/>
      <c r="G70" s="373"/>
      <c r="H70" s="17">
        <v>2.1999999999999999E-2</v>
      </c>
      <c r="I70" s="5">
        <f>$I$28*H70</f>
        <v>2.1999999999999997</v>
      </c>
      <c r="J70" s="48"/>
      <c r="K70" s="20"/>
    </row>
    <row r="71" spans="1:11" x14ac:dyDescent="0.2">
      <c r="A71" s="389" t="s">
        <v>69</v>
      </c>
      <c r="B71" s="389"/>
      <c r="C71" s="389"/>
      <c r="D71" s="389"/>
      <c r="E71" s="389"/>
      <c r="F71" s="389"/>
      <c r="G71" s="389"/>
      <c r="H71" s="12">
        <f>TRUNC(SUM(H65:H70),4)</f>
        <v>3.2000000000000001E-2</v>
      </c>
      <c r="I71" s="13">
        <f>(SUM(I65:I70))</f>
        <v>3.1999999999999997</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79" t="s">
        <v>21</v>
      </c>
      <c r="I74" s="79" t="s">
        <v>22</v>
      </c>
      <c r="J74" s="48"/>
    </row>
    <row r="75" spans="1:11" x14ac:dyDescent="0.2">
      <c r="A75" s="79" t="s">
        <v>1</v>
      </c>
      <c r="B75" s="373" t="s">
        <v>186</v>
      </c>
      <c r="C75" s="373"/>
      <c r="D75" s="373"/>
      <c r="E75" s="373"/>
      <c r="F75" s="373"/>
      <c r="G75" s="373"/>
      <c r="H75" s="148">
        <v>0</v>
      </c>
      <c r="I75" s="5">
        <f t="shared" ref="I75:I80" si="1">$I$28*H75</f>
        <v>0</v>
      </c>
      <c r="J75" s="48"/>
    </row>
    <row r="76" spans="1:11" x14ac:dyDescent="0.2">
      <c r="A76" s="79" t="s">
        <v>3</v>
      </c>
      <c r="B76" s="373" t="s">
        <v>187</v>
      </c>
      <c r="C76" s="373"/>
      <c r="D76" s="373"/>
      <c r="E76" s="373"/>
      <c r="F76" s="373"/>
      <c r="G76" s="373"/>
      <c r="H76" s="148">
        <v>0</v>
      </c>
      <c r="I76" s="16">
        <f t="shared" si="1"/>
        <v>0</v>
      </c>
      <c r="J76" s="48"/>
    </row>
    <row r="77" spans="1:11" x14ac:dyDescent="0.2">
      <c r="A77" s="79" t="s">
        <v>5</v>
      </c>
      <c r="B77" s="373" t="s">
        <v>188</v>
      </c>
      <c r="C77" s="373"/>
      <c r="D77" s="373"/>
      <c r="E77" s="373"/>
      <c r="F77" s="373"/>
      <c r="G77" s="373"/>
      <c r="H77" s="17">
        <v>0</v>
      </c>
      <c r="I77" s="16">
        <f t="shared" si="1"/>
        <v>0</v>
      </c>
      <c r="J77" s="48"/>
    </row>
    <row r="78" spans="1:11" x14ac:dyDescent="0.2">
      <c r="A78" s="79" t="s">
        <v>7</v>
      </c>
      <c r="B78" s="373" t="s">
        <v>189</v>
      </c>
      <c r="C78" s="373"/>
      <c r="D78" s="373"/>
      <c r="E78" s="373"/>
      <c r="F78" s="373"/>
      <c r="G78" s="373"/>
      <c r="H78" s="148">
        <v>0</v>
      </c>
      <c r="I78" s="16">
        <f t="shared" si="1"/>
        <v>0</v>
      </c>
      <c r="J78" s="48"/>
    </row>
    <row r="79" spans="1:11" x14ac:dyDescent="0.2">
      <c r="A79" s="79" t="s">
        <v>27</v>
      </c>
      <c r="B79" s="373" t="s">
        <v>190</v>
      </c>
      <c r="C79" s="373"/>
      <c r="D79" s="373"/>
      <c r="E79" s="373"/>
      <c r="F79" s="373"/>
      <c r="G79" s="373"/>
      <c r="H79" s="17">
        <v>0</v>
      </c>
      <c r="I79" s="16">
        <f t="shared" si="1"/>
        <v>0</v>
      </c>
      <c r="J79" s="48"/>
    </row>
    <row r="80" spans="1:11" x14ac:dyDescent="0.2">
      <c r="A80" s="79"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0</v>
      </c>
      <c r="I81" s="13">
        <f>(SUM(I75:I80))</f>
        <v>0</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79" t="s">
        <v>21</v>
      </c>
      <c r="I83" s="79" t="s">
        <v>22</v>
      </c>
      <c r="J83" s="48"/>
    </row>
    <row r="84" spans="1:10" x14ac:dyDescent="0.2">
      <c r="A84" s="79"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79" t="s">
        <v>22</v>
      </c>
      <c r="J88" s="48"/>
    </row>
    <row r="89" spans="1:10" x14ac:dyDescent="0.2">
      <c r="A89" s="79" t="s">
        <v>77</v>
      </c>
      <c r="B89" s="370" t="s">
        <v>193</v>
      </c>
      <c r="C89" s="370"/>
      <c r="D89" s="370"/>
      <c r="E89" s="370"/>
      <c r="F89" s="370"/>
      <c r="G89" s="370"/>
      <c r="H89" s="370"/>
      <c r="I89" s="16">
        <f>I81</f>
        <v>0</v>
      </c>
      <c r="J89" s="48"/>
    </row>
    <row r="90" spans="1:10" x14ac:dyDescent="0.2">
      <c r="A90" s="79" t="s">
        <v>78</v>
      </c>
      <c r="B90" s="370" t="s">
        <v>194</v>
      </c>
      <c r="C90" s="370"/>
      <c r="D90" s="370"/>
      <c r="E90" s="370"/>
      <c r="F90" s="370"/>
      <c r="G90" s="370"/>
      <c r="H90" s="370"/>
      <c r="I90" s="16">
        <f>I85</f>
        <v>0</v>
      </c>
      <c r="J90" s="48"/>
    </row>
    <row r="91" spans="1:10" x14ac:dyDescent="0.2">
      <c r="A91" s="125" t="s">
        <v>46</v>
      </c>
      <c r="B91" s="370" t="s">
        <v>195</v>
      </c>
      <c r="C91" s="370"/>
      <c r="D91" s="370"/>
      <c r="E91" s="370"/>
      <c r="F91" s="370"/>
      <c r="G91" s="370"/>
      <c r="H91" s="370"/>
      <c r="I91" s="16">
        <f>(H81*H46)*I89</f>
        <v>0</v>
      </c>
      <c r="J91" s="48"/>
    </row>
    <row r="92" spans="1:10" x14ac:dyDescent="0.2">
      <c r="A92" s="389" t="s">
        <v>79</v>
      </c>
      <c r="B92" s="389"/>
      <c r="C92" s="389"/>
      <c r="D92" s="389"/>
      <c r="E92" s="389"/>
      <c r="F92" s="389"/>
      <c r="G92" s="389"/>
      <c r="H92" s="389"/>
      <c r="I92" s="13">
        <f>(SUM(I89:I90))</f>
        <v>0</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79">
        <v>5</v>
      </c>
      <c r="B95" s="389" t="s">
        <v>81</v>
      </c>
      <c r="C95" s="389"/>
      <c r="D95" s="389"/>
      <c r="E95" s="389"/>
      <c r="F95" s="389"/>
      <c r="G95" s="389"/>
      <c r="H95" s="79"/>
      <c r="I95" s="79" t="s">
        <v>22</v>
      </c>
      <c r="J95" s="48"/>
    </row>
    <row r="96" spans="1:10" x14ac:dyDescent="0.2">
      <c r="A96" s="79" t="s">
        <v>1</v>
      </c>
      <c r="B96" s="393" t="s">
        <v>82</v>
      </c>
      <c r="C96" s="393"/>
      <c r="D96" s="393"/>
      <c r="E96" s="393"/>
      <c r="F96" s="393"/>
      <c r="G96" s="393"/>
      <c r="H96" s="78" t="s">
        <v>50</v>
      </c>
      <c r="I96" s="66">
        <v>0</v>
      </c>
      <c r="J96" s="48"/>
    </row>
    <row r="97" spans="1:13" x14ac:dyDescent="0.2">
      <c r="A97" s="79" t="s">
        <v>3</v>
      </c>
      <c r="B97" s="393" t="s">
        <v>83</v>
      </c>
      <c r="C97" s="393"/>
      <c r="D97" s="393"/>
      <c r="E97" s="393"/>
      <c r="F97" s="393"/>
      <c r="G97" s="393"/>
      <c r="H97" s="78" t="s">
        <v>50</v>
      </c>
      <c r="I97" s="16">
        <v>0</v>
      </c>
      <c r="J97" s="48"/>
    </row>
    <row r="98" spans="1:13" x14ac:dyDescent="0.2">
      <c r="A98" s="21" t="s">
        <v>5</v>
      </c>
      <c r="B98" s="393" t="s">
        <v>84</v>
      </c>
      <c r="C98" s="393"/>
      <c r="D98" s="393"/>
      <c r="E98" s="393"/>
      <c r="F98" s="393"/>
      <c r="G98" s="393"/>
      <c r="H98" s="78" t="s">
        <v>50</v>
      </c>
      <c r="I98" s="16">
        <v>0</v>
      </c>
      <c r="J98" s="48"/>
    </row>
    <row r="99" spans="1:13" x14ac:dyDescent="0.2">
      <c r="A99" s="21" t="s">
        <v>7</v>
      </c>
      <c r="B99" s="393" t="s">
        <v>128</v>
      </c>
      <c r="C99" s="393"/>
      <c r="D99" s="393"/>
      <c r="E99" s="393"/>
      <c r="F99" s="393"/>
      <c r="G99" s="393"/>
      <c r="H99" s="78" t="s">
        <v>50</v>
      </c>
      <c r="I99" s="16">
        <v>0</v>
      </c>
      <c r="J99" s="48"/>
    </row>
    <row r="100" spans="1:13" x14ac:dyDescent="0.2">
      <c r="A100" s="389" t="s">
        <v>85</v>
      </c>
      <c r="B100" s="389"/>
      <c r="C100" s="389"/>
      <c r="D100" s="389"/>
      <c r="E100" s="389"/>
      <c r="F100" s="389"/>
      <c r="G100" s="389"/>
      <c r="H100" s="12" t="s">
        <v>50</v>
      </c>
      <c r="I100" s="13">
        <f>(SUM(I96:I99))</f>
        <v>0</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79">
        <v>6</v>
      </c>
      <c r="B103" s="389" t="s">
        <v>87</v>
      </c>
      <c r="C103" s="389"/>
      <c r="D103" s="389"/>
      <c r="E103" s="389"/>
      <c r="F103" s="389"/>
      <c r="G103" s="389"/>
      <c r="H103" s="79" t="s">
        <v>21</v>
      </c>
      <c r="I103" s="79" t="s">
        <v>22</v>
      </c>
      <c r="J103" s="48"/>
      <c r="K103" s="52">
        <f>'ANEXO VII'!M57</f>
        <v>197.15170301310718</v>
      </c>
    </row>
    <row r="104" spans="1:13" x14ac:dyDescent="0.2">
      <c r="A104" s="79" t="s">
        <v>1</v>
      </c>
      <c r="B104" s="373" t="s">
        <v>88</v>
      </c>
      <c r="C104" s="373"/>
      <c r="D104" s="373"/>
      <c r="E104" s="373"/>
      <c r="F104" s="373"/>
      <c r="G104" s="373"/>
      <c r="H104" s="22">
        <v>5.21E-2</v>
      </c>
      <c r="I104" s="16">
        <f>I120*H104</f>
        <v>5.3767200000000006</v>
      </c>
      <c r="J104" s="48"/>
      <c r="M104" s="52"/>
    </row>
    <row r="105" spans="1:13" x14ac:dyDescent="0.2">
      <c r="A105" s="79" t="s">
        <v>3</v>
      </c>
      <c r="B105" s="373" t="s">
        <v>89</v>
      </c>
      <c r="C105" s="373"/>
      <c r="D105" s="373"/>
      <c r="E105" s="373"/>
      <c r="F105" s="373"/>
      <c r="G105" s="373"/>
      <c r="H105" s="22">
        <v>0.05</v>
      </c>
      <c r="I105" s="16">
        <f>(I120+I104)*H105</f>
        <v>5.4288360000000004</v>
      </c>
      <c r="J105" s="48"/>
    </row>
    <row r="106" spans="1:13" x14ac:dyDescent="0.2">
      <c r="A106" s="79" t="s">
        <v>5</v>
      </c>
      <c r="B106" s="392" t="s">
        <v>90</v>
      </c>
      <c r="C106" s="392"/>
      <c r="D106" s="392"/>
      <c r="E106" s="392"/>
      <c r="F106" s="392"/>
      <c r="G106" s="392"/>
      <c r="H106" s="23">
        <f>H107+H108+H109</f>
        <v>8.6499999999999994E-2</v>
      </c>
      <c r="I106" s="24"/>
      <c r="J106" s="48"/>
    </row>
    <row r="107" spans="1:13" x14ac:dyDescent="0.2">
      <c r="A107" s="79" t="s">
        <v>91</v>
      </c>
      <c r="B107" s="373" t="s">
        <v>92</v>
      </c>
      <c r="C107" s="373"/>
      <c r="D107" s="373"/>
      <c r="E107" s="373"/>
      <c r="F107" s="373"/>
      <c r="G107" s="373"/>
      <c r="H107" s="25">
        <v>6.4999999999999997E-3</v>
      </c>
      <c r="I107" s="16">
        <f>K110*H107</f>
        <v>0.81120537931034487</v>
      </c>
      <c r="J107" s="48"/>
      <c r="K107" s="65">
        <f>1-H106</f>
        <v>0.91349999999999998</v>
      </c>
    </row>
    <row r="108" spans="1:13" x14ac:dyDescent="0.2">
      <c r="A108" s="79" t="s">
        <v>93</v>
      </c>
      <c r="B108" s="373" t="s">
        <v>94</v>
      </c>
      <c r="C108" s="373"/>
      <c r="D108" s="373"/>
      <c r="E108" s="373"/>
      <c r="F108" s="373"/>
      <c r="G108" s="373"/>
      <c r="H108" s="25">
        <v>0.03</v>
      </c>
      <c r="I108" s="16">
        <f>K110*H108</f>
        <v>3.7440248275862071</v>
      </c>
      <c r="J108" s="48"/>
      <c r="K108" s="45">
        <f>K107/1</f>
        <v>0.91349999999999998</v>
      </c>
    </row>
    <row r="109" spans="1:13" x14ac:dyDescent="0.2">
      <c r="A109" s="79" t="s">
        <v>95</v>
      </c>
      <c r="B109" s="373" t="s">
        <v>96</v>
      </c>
      <c r="C109" s="373"/>
      <c r="D109" s="373"/>
      <c r="E109" s="373"/>
      <c r="F109" s="373"/>
      <c r="G109" s="373"/>
      <c r="H109" s="26">
        <v>0.05</v>
      </c>
      <c r="I109" s="16">
        <f>K110*H109</f>
        <v>6.2400413793103455</v>
      </c>
      <c r="J109" s="48"/>
      <c r="K109" s="20">
        <f>I120+I104+I105</f>
        <v>114.00555600000001</v>
      </c>
    </row>
    <row r="110" spans="1:13" x14ac:dyDescent="0.2">
      <c r="A110" s="389" t="s">
        <v>97</v>
      </c>
      <c r="B110" s="389"/>
      <c r="C110" s="389"/>
      <c r="D110" s="389"/>
      <c r="E110" s="389"/>
      <c r="F110" s="389"/>
      <c r="G110" s="389"/>
      <c r="H110" s="25">
        <f>SUM(H104+H105+H106)</f>
        <v>0.18859999999999999</v>
      </c>
      <c r="I110" s="13">
        <f>(SUM(I104:I109))</f>
        <v>21.600827586206897</v>
      </c>
      <c r="J110" s="48"/>
      <c r="K110" s="20">
        <f>K109/K108</f>
        <v>124.80082758620691</v>
      </c>
    </row>
    <row r="111" spans="1:13" x14ac:dyDescent="0.2">
      <c r="A111" s="81"/>
      <c r="B111" s="390"/>
      <c r="C111" s="390"/>
      <c r="D111" s="390"/>
      <c r="E111" s="390"/>
      <c r="F111" s="390"/>
      <c r="G111" s="390"/>
      <c r="H111" s="390"/>
      <c r="I111" s="390"/>
    </row>
    <row r="112" spans="1:13" x14ac:dyDescent="0.2">
      <c r="A112" s="81"/>
      <c r="B112" s="81"/>
      <c r="C112" s="81"/>
      <c r="D112" s="81"/>
      <c r="E112" s="81"/>
      <c r="F112" s="81"/>
      <c r="G112" s="81"/>
      <c r="H112" s="81"/>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79" t="s">
        <v>22</v>
      </c>
    </row>
    <row r="115" spans="1:12" x14ac:dyDescent="0.2">
      <c r="A115" s="78" t="s">
        <v>1</v>
      </c>
      <c r="B115" s="373" t="str">
        <f>A19</f>
        <v>MÓDULO 1 - COMPOSIÇÃO DA REMUNERAÇÃO</v>
      </c>
      <c r="C115" s="373"/>
      <c r="D115" s="373"/>
      <c r="E115" s="373"/>
      <c r="F115" s="373"/>
      <c r="G115" s="373"/>
      <c r="H115" s="373"/>
      <c r="I115" s="16">
        <f>I28</f>
        <v>100</v>
      </c>
      <c r="K115" s="20"/>
      <c r="L115" s="53"/>
    </row>
    <row r="116" spans="1:12" x14ac:dyDescent="0.2">
      <c r="A116" s="78" t="s">
        <v>3</v>
      </c>
      <c r="B116" s="373" t="str">
        <f>A30</f>
        <v>MÓDULO 2 – ENCARGOS E BENEFÍCIOS ANUAIS, MENSAIS E DIÁRIOS</v>
      </c>
      <c r="C116" s="373"/>
      <c r="D116" s="373"/>
      <c r="E116" s="373"/>
      <c r="F116" s="373"/>
      <c r="G116" s="373"/>
      <c r="H116" s="373"/>
      <c r="I116" s="16">
        <f>I61</f>
        <v>0</v>
      </c>
    </row>
    <row r="117" spans="1:12" x14ac:dyDescent="0.2">
      <c r="A117" s="78" t="s">
        <v>5</v>
      </c>
      <c r="B117" s="373" t="str">
        <f>A63</f>
        <v>MÓDULO 3 – PROVISÃO PARA RESCISÃO</v>
      </c>
      <c r="C117" s="373"/>
      <c r="D117" s="373"/>
      <c r="E117" s="373"/>
      <c r="F117" s="373"/>
      <c r="G117" s="373"/>
      <c r="H117" s="373"/>
      <c r="I117" s="16">
        <f>I71</f>
        <v>3.1999999999999997</v>
      </c>
    </row>
    <row r="118" spans="1:12" x14ac:dyDescent="0.2">
      <c r="A118" s="78" t="s">
        <v>7</v>
      </c>
      <c r="B118" s="373" t="str">
        <f>A73</f>
        <v>MÓDULO 4 – CUSTO DE REPOSIÇÃO DO PROFISSIONAL AUSENTE</v>
      </c>
      <c r="C118" s="373"/>
      <c r="D118" s="373"/>
      <c r="E118" s="373"/>
      <c r="F118" s="373"/>
      <c r="G118" s="373"/>
      <c r="H118" s="373"/>
      <c r="I118" s="16">
        <f>I92</f>
        <v>0</v>
      </c>
    </row>
    <row r="119" spans="1:12" x14ac:dyDescent="0.2">
      <c r="A119" s="78" t="s">
        <v>27</v>
      </c>
      <c r="B119" s="373" t="str">
        <f>A94</f>
        <v>MÓDULO 5 – INSUMOS DIVERSOS</v>
      </c>
      <c r="C119" s="373"/>
      <c r="D119" s="373"/>
      <c r="E119" s="373"/>
      <c r="F119" s="373"/>
      <c r="G119" s="373"/>
      <c r="H119" s="373"/>
      <c r="I119" s="16">
        <f>I100</f>
        <v>0</v>
      </c>
    </row>
    <row r="120" spans="1:12" x14ac:dyDescent="0.2">
      <c r="A120" s="79"/>
      <c r="B120" s="389" t="s">
        <v>100</v>
      </c>
      <c r="C120" s="389"/>
      <c r="D120" s="389"/>
      <c r="E120" s="389"/>
      <c r="F120" s="389"/>
      <c r="G120" s="389"/>
      <c r="H120" s="389"/>
      <c r="I120" s="13">
        <f>(SUM(I115:I119))</f>
        <v>103.2</v>
      </c>
    </row>
    <row r="121" spans="1:12" x14ac:dyDescent="0.2">
      <c r="A121" s="78" t="s">
        <v>29</v>
      </c>
      <c r="B121" s="373" t="str">
        <f>A102</f>
        <v>MÓDULO 6 – CUSTOS INDIRETOS, TRIBUTOS E LUCRO</v>
      </c>
      <c r="C121" s="373"/>
      <c r="D121" s="373"/>
      <c r="E121" s="373"/>
      <c r="F121" s="373"/>
      <c r="G121" s="373"/>
      <c r="H121" s="373"/>
      <c r="I121" s="5">
        <f>I110</f>
        <v>21.600827586206897</v>
      </c>
    </row>
    <row r="122" spans="1:12" x14ac:dyDescent="0.2">
      <c r="A122" s="389" t="s">
        <v>101</v>
      </c>
      <c r="B122" s="389"/>
      <c r="C122" s="389"/>
      <c r="D122" s="389"/>
      <c r="E122" s="389"/>
      <c r="F122" s="389"/>
      <c r="G122" s="389"/>
      <c r="H122" s="389"/>
      <c r="I122" s="13">
        <f>(SUM(I120:I121))</f>
        <v>124.80082758620691</v>
      </c>
      <c r="K122" s="51"/>
    </row>
    <row r="123" spans="1:12" x14ac:dyDescent="0.2">
      <c r="A123" s="389" t="s">
        <v>170</v>
      </c>
      <c r="B123" s="389"/>
      <c r="C123" s="389"/>
      <c r="D123" s="389"/>
      <c r="E123" s="389"/>
      <c r="F123" s="389"/>
      <c r="G123" s="389"/>
      <c r="H123" s="389"/>
      <c r="I123" s="55">
        <f>I122*5</f>
        <v>624.00413793103451</v>
      </c>
      <c r="K123" s="51"/>
    </row>
    <row r="124" spans="1:12" x14ac:dyDescent="0.2">
      <c r="A124" s="389" t="s">
        <v>171</v>
      </c>
      <c r="B124" s="389"/>
      <c r="C124" s="389"/>
      <c r="D124" s="389"/>
      <c r="E124" s="389"/>
      <c r="F124" s="389"/>
      <c r="G124" s="389"/>
      <c r="H124" s="389"/>
      <c r="I124" s="55">
        <f>I123*12</f>
        <v>7488.0496551724136</v>
      </c>
    </row>
  </sheetData>
  <mergeCells count="143">
    <mergeCell ref="A123:H123"/>
    <mergeCell ref="A124:H124"/>
    <mergeCell ref="A122:H122"/>
    <mergeCell ref="B116:H116"/>
    <mergeCell ref="B117:H117"/>
    <mergeCell ref="B118:H118"/>
    <mergeCell ref="B119:H119"/>
    <mergeCell ref="B120:H120"/>
    <mergeCell ref="B121:H121"/>
    <mergeCell ref="B109:G109"/>
    <mergeCell ref="A110:G110"/>
    <mergeCell ref="B111:I111"/>
    <mergeCell ref="A113:I113"/>
    <mergeCell ref="A114:H114"/>
    <mergeCell ref="B115:H115"/>
    <mergeCell ref="B103:G103"/>
    <mergeCell ref="B104:G104"/>
    <mergeCell ref="B105:G105"/>
    <mergeCell ref="B106:G106"/>
    <mergeCell ref="B107:G107"/>
    <mergeCell ref="B108:G108"/>
    <mergeCell ref="B97:G97"/>
    <mergeCell ref="B98:G98"/>
    <mergeCell ref="B99:G99"/>
    <mergeCell ref="A100:G100"/>
    <mergeCell ref="A101:I101"/>
    <mergeCell ref="A102:I102"/>
    <mergeCell ref="B90:H90"/>
    <mergeCell ref="A92:H92"/>
    <mergeCell ref="A93:I93"/>
    <mergeCell ref="A94:I94"/>
    <mergeCell ref="B95:G95"/>
    <mergeCell ref="B96:G96"/>
    <mergeCell ref="B91:H91"/>
    <mergeCell ref="B84:G84"/>
    <mergeCell ref="A85:G85"/>
    <mergeCell ref="A86:I86"/>
    <mergeCell ref="A87:I87"/>
    <mergeCell ref="A88:H88"/>
    <mergeCell ref="B89:H89"/>
    <mergeCell ref="B78:G78"/>
    <mergeCell ref="B79:G79"/>
    <mergeCell ref="B80:G80"/>
    <mergeCell ref="A81:G81"/>
    <mergeCell ref="A82:I82"/>
    <mergeCell ref="A83:G83"/>
    <mergeCell ref="A72:I72"/>
    <mergeCell ref="A73:I73"/>
    <mergeCell ref="A74:G74"/>
    <mergeCell ref="B75:G75"/>
    <mergeCell ref="B76:G76"/>
    <mergeCell ref="B77:G77"/>
    <mergeCell ref="B66:G66"/>
    <mergeCell ref="B67:G67"/>
    <mergeCell ref="B68:G68"/>
    <mergeCell ref="B69:G69"/>
    <mergeCell ref="B70:G70"/>
    <mergeCell ref="A71:G71"/>
    <mergeCell ref="B60:H60"/>
    <mergeCell ref="A61:H61"/>
    <mergeCell ref="A62:I62"/>
    <mergeCell ref="A63:I63"/>
    <mergeCell ref="B64:G64"/>
    <mergeCell ref="B65:G65"/>
    <mergeCell ref="A54:H54"/>
    <mergeCell ref="A55:I55"/>
    <mergeCell ref="A56:I56"/>
    <mergeCell ref="A57:H57"/>
    <mergeCell ref="B58:H58"/>
    <mergeCell ref="B59:H59"/>
    <mergeCell ref="A48:G48"/>
    <mergeCell ref="B49:G49"/>
    <mergeCell ref="B50:G50"/>
    <mergeCell ref="B51:G51"/>
    <mergeCell ref="B52:G52"/>
    <mergeCell ref="B53:G53"/>
    <mergeCell ref="B42:G42"/>
    <mergeCell ref="B43:G43"/>
    <mergeCell ref="B44:G44"/>
    <mergeCell ref="B45:G45"/>
    <mergeCell ref="A46:G46"/>
    <mergeCell ref="A47:I47"/>
    <mergeCell ref="B33:G33"/>
    <mergeCell ref="B34:G34"/>
    <mergeCell ref="A35:G35"/>
    <mergeCell ref="A36:I36"/>
    <mergeCell ref="A37:G37"/>
    <mergeCell ref="K37:K45"/>
    <mergeCell ref="B38:G38"/>
    <mergeCell ref="B39:G39"/>
    <mergeCell ref="B40:G40"/>
    <mergeCell ref="B41:G41"/>
    <mergeCell ref="B26:G26"/>
    <mergeCell ref="B27:G27"/>
    <mergeCell ref="A28:H28"/>
    <mergeCell ref="A30:I30"/>
    <mergeCell ref="A31:G31"/>
    <mergeCell ref="B32:G32"/>
    <mergeCell ref="B20:G20"/>
    <mergeCell ref="B21:G21"/>
    <mergeCell ref="B22:G22"/>
    <mergeCell ref="B23:G23"/>
    <mergeCell ref="B24:G24"/>
    <mergeCell ref="B25:G25"/>
    <mergeCell ref="B14:H14"/>
    <mergeCell ref="B15:H15"/>
    <mergeCell ref="B16:H16"/>
    <mergeCell ref="B17:H17"/>
    <mergeCell ref="A18:I18"/>
    <mergeCell ref="A19:I19"/>
    <mergeCell ref="L11:Q11"/>
    <mergeCell ref="R11:S11"/>
    <mergeCell ref="A12:I12"/>
    <mergeCell ref="L12:Q12"/>
    <mergeCell ref="R12:S12"/>
    <mergeCell ref="B13:H13"/>
    <mergeCell ref="A9:B9"/>
    <mergeCell ref="C9:D9"/>
    <mergeCell ref="E9:I9"/>
    <mergeCell ref="L9:Q9"/>
    <mergeCell ref="R9:S9"/>
    <mergeCell ref="A10:B10"/>
    <mergeCell ref="C10:D10"/>
    <mergeCell ref="E10:I10"/>
    <mergeCell ref="L10:Q10"/>
    <mergeCell ref="R10:S10"/>
    <mergeCell ref="A2:I2"/>
    <mergeCell ref="B5:H5"/>
    <mergeCell ref="K5:S5"/>
    <mergeCell ref="B6:H6"/>
    <mergeCell ref="K6:S6"/>
    <mergeCell ref="K7:S7"/>
    <mergeCell ref="A8:I8"/>
    <mergeCell ref="K8:S8"/>
    <mergeCell ref="K2:S2"/>
    <mergeCell ref="B3:H3"/>
    <mergeCell ref="L3:M3"/>
    <mergeCell ref="N3:Q3"/>
    <mergeCell ref="R3:S3"/>
    <mergeCell ref="B4:H4"/>
    <mergeCell ref="L4:M4"/>
    <mergeCell ref="N4:Q4"/>
    <mergeCell ref="R4:S4"/>
  </mergeCells>
  <pageMargins left="0.25" right="0.25" top="0.75" bottom="0.75" header="0.3" footer="0.3"/>
  <pageSetup paperSize="9" firstPageNumber="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0F19F-FA1D-4684-9B2D-7C2FB061852F}">
  <sheetPr>
    <tabColor rgb="FFFFFF00"/>
  </sheetPr>
  <dimension ref="A2:S132"/>
  <sheetViews>
    <sheetView tabSelected="1" topLeftCell="A97" zoomScale="118" zoomScaleNormal="118" workbookViewId="0">
      <selection activeCell="I104" sqref="I104"/>
    </sheetView>
  </sheetViews>
  <sheetFormatPr defaultColWidth="9.140625" defaultRowHeight="12.75" x14ac:dyDescent="0.2"/>
  <cols>
    <col min="1"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78" t="s">
        <v>1</v>
      </c>
      <c r="B3" s="373" t="s">
        <v>2</v>
      </c>
      <c r="C3" s="373"/>
      <c r="D3" s="373"/>
      <c r="E3" s="373"/>
      <c r="F3" s="373"/>
      <c r="G3" s="373"/>
      <c r="H3" s="373"/>
      <c r="I3" s="1">
        <v>44182</v>
      </c>
      <c r="K3" s="77"/>
      <c r="L3" s="410"/>
      <c r="M3" s="410"/>
      <c r="N3" s="410"/>
      <c r="O3" s="410"/>
      <c r="P3" s="410"/>
      <c r="Q3" s="410"/>
      <c r="R3" s="416"/>
      <c r="S3" s="416"/>
    </row>
    <row r="4" spans="1:19" x14ac:dyDescent="0.2">
      <c r="A4" s="78" t="s">
        <v>3</v>
      </c>
      <c r="B4" s="373" t="s">
        <v>4</v>
      </c>
      <c r="C4" s="373"/>
      <c r="D4" s="373"/>
      <c r="E4" s="373"/>
      <c r="F4" s="373"/>
      <c r="G4" s="373"/>
      <c r="H4" s="373"/>
      <c r="I4" s="78" t="s">
        <v>183</v>
      </c>
      <c r="K4" s="77"/>
      <c r="L4" s="407"/>
      <c r="M4" s="407"/>
      <c r="N4" s="410"/>
      <c r="O4" s="410"/>
      <c r="P4" s="410"/>
      <c r="Q4" s="410"/>
      <c r="R4" s="410"/>
      <c r="S4" s="410"/>
    </row>
    <row r="5" spans="1:19" x14ac:dyDescent="0.2">
      <c r="A5" s="78" t="s">
        <v>5</v>
      </c>
      <c r="B5" s="373" t="s">
        <v>6</v>
      </c>
      <c r="C5" s="373"/>
      <c r="D5" s="373"/>
      <c r="E5" s="373"/>
      <c r="F5" s="373"/>
      <c r="G5" s="373"/>
      <c r="H5" s="373"/>
      <c r="I5" s="78">
        <v>2020</v>
      </c>
      <c r="K5" s="414"/>
      <c r="L5" s="414"/>
      <c r="M5" s="414"/>
      <c r="N5" s="414"/>
      <c r="O5" s="414"/>
      <c r="P5" s="414"/>
      <c r="Q5" s="414"/>
      <c r="R5" s="414"/>
      <c r="S5" s="414"/>
    </row>
    <row r="6" spans="1:19" x14ac:dyDescent="0.2">
      <c r="A6" s="78" t="s">
        <v>7</v>
      </c>
      <c r="B6" s="373" t="s">
        <v>8</v>
      </c>
      <c r="C6" s="373"/>
      <c r="D6" s="373"/>
      <c r="E6" s="373"/>
      <c r="F6" s="373"/>
      <c r="G6" s="373"/>
      <c r="H6" s="373"/>
      <c r="I6" s="78">
        <v>12</v>
      </c>
      <c r="K6" s="414"/>
      <c r="L6" s="414"/>
      <c r="M6" s="414"/>
      <c r="N6" s="414"/>
      <c r="O6" s="414"/>
      <c r="P6" s="414"/>
      <c r="Q6" s="414"/>
      <c r="R6" s="414"/>
      <c r="S6" s="414"/>
    </row>
    <row r="7" spans="1:19" x14ac:dyDescent="0.2">
      <c r="A7" s="81"/>
      <c r="B7" s="80"/>
      <c r="C7" s="80"/>
      <c r="D7" s="80"/>
      <c r="E7" s="80"/>
      <c r="F7" s="80"/>
      <c r="G7" s="80"/>
      <c r="H7" s="81"/>
      <c r="I7" s="81"/>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77"/>
      <c r="L9" s="406"/>
      <c r="M9" s="406"/>
      <c r="N9" s="406"/>
      <c r="O9" s="406"/>
      <c r="P9" s="406"/>
      <c r="Q9" s="406"/>
      <c r="R9" s="410"/>
      <c r="S9" s="410"/>
    </row>
    <row r="10" spans="1:19" ht="27" customHeight="1" x14ac:dyDescent="0.2">
      <c r="A10" s="411" t="s">
        <v>169</v>
      </c>
      <c r="B10" s="411"/>
      <c r="C10" s="370"/>
      <c r="D10" s="370"/>
      <c r="E10" s="412">
        <v>1</v>
      </c>
      <c r="F10" s="412"/>
      <c r="G10" s="412"/>
      <c r="H10" s="412"/>
      <c r="I10" s="412"/>
      <c r="K10" s="76"/>
      <c r="L10" s="408"/>
      <c r="M10" s="408"/>
      <c r="N10" s="408"/>
      <c r="O10" s="408"/>
      <c r="P10" s="408"/>
      <c r="Q10" s="408"/>
      <c r="R10" s="413"/>
      <c r="S10" s="413"/>
    </row>
    <row r="11" spans="1:19" x14ac:dyDescent="0.2">
      <c r="A11" s="81"/>
      <c r="B11" s="80"/>
      <c r="C11" s="80"/>
      <c r="D11" s="80"/>
      <c r="E11" s="80"/>
      <c r="F11" s="80"/>
      <c r="G11" s="80"/>
      <c r="H11" s="81"/>
      <c r="I11" s="81"/>
      <c r="K11" s="77"/>
      <c r="L11" s="406"/>
      <c r="M11" s="406"/>
      <c r="N11" s="406"/>
      <c r="O11" s="406"/>
      <c r="P11" s="406"/>
      <c r="Q11" s="406"/>
      <c r="R11" s="407"/>
      <c r="S11" s="407"/>
    </row>
    <row r="12" spans="1:19" x14ac:dyDescent="0.2">
      <c r="A12" s="395" t="s">
        <v>13</v>
      </c>
      <c r="B12" s="395"/>
      <c r="C12" s="395"/>
      <c r="D12" s="395"/>
      <c r="E12" s="395"/>
      <c r="F12" s="395"/>
      <c r="G12" s="395"/>
      <c r="H12" s="395"/>
      <c r="I12" s="395"/>
      <c r="K12" s="76"/>
      <c r="L12" s="408"/>
      <c r="M12" s="408"/>
      <c r="N12" s="408"/>
      <c r="O12" s="408"/>
      <c r="P12" s="408"/>
      <c r="Q12" s="408"/>
      <c r="R12" s="409"/>
      <c r="S12" s="409"/>
    </row>
    <row r="13" spans="1:19" x14ac:dyDescent="0.2">
      <c r="A13" s="78">
        <v>1</v>
      </c>
      <c r="B13" s="373" t="s">
        <v>14</v>
      </c>
      <c r="C13" s="373"/>
      <c r="D13" s="373"/>
      <c r="E13" s="373"/>
      <c r="F13" s="373"/>
      <c r="G13" s="373"/>
      <c r="H13" s="373"/>
      <c r="I13" s="50" t="s">
        <v>184</v>
      </c>
      <c r="K13" s="2"/>
      <c r="L13" s="2"/>
      <c r="M13" s="2"/>
      <c r="N13" s="2"/>
      <c r="O13" s="2"/>
      <c r="P13" s="2"/>
      <c r="Q13" s="2"/>
      <c r="R13" s="2"/>
      <c r="S13" s="2"/>
    </row>
    <row r="14" spans="1:19" x14ac:dyDescent="0.2">
      <c r="A14" s="78">
        <v>2</v>
      </c>
      <c r="B14" s="373" t="s">
        <v>15</v>
      </c>
      <c r="C14" s="373"/>
      <c r="D14" s="373"/>
      <c r="E14" s="373"/>
      <c r="F14" s="373"/>
      <c r="G14" s="373"/>
      <c r="H14" s="373"/>
      <c r="I14" s="78"/>
    </row>
    <row r="15" spans="1:19" x14ac:dyDescent="0.2">
      <c r="A15" s="78">
        <v>3</v>
      </c>
      <c r="B15" s="373" t="s">
        <v>16</v>
      </c>
      <c r="C15" s="373"/>
      <c r="D15" s="373"/>
      <c r="E15" s="373"/>
      <c r="F15" s="373"/>
      <c r="G15" s="373"/>
      <c r="H15" s="373"/>
      <c r="I15" s="3">
        <v>50</v>
      </c>
    </row>
    <row r="16" spans="1:19" x14ac:dyDescent="0.2">
      <c r="A16" s="78">
        <v>4</v>
      </c>
      <c r="B16" s="373" t="s">
        <v>17</v>
      </c>
      <c r="C16" s="373"/>
      <c r="D16" s="373"/>
      <c r="E16" s="373"/>
      <c r="F16" s="373"/>
      <c r="G16" s="373"/>
      <c r="H16" s="373"/>
      <c r="I16" s="1" t="str">
        <f>A10</f>
        <v>DESLOCAMENTO SEM PERNOITE</v>
      </c>
    </row>
    <row r="17" spans="1:12" x14ac:dyDescent="0.2">
      <c r="A17" s="78">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79">
        <v>1</v>
      </c>
      <c r="B20" s="389" t="s">
        <v>20</v>
      </c>
      <c r="C20" s="389"/>
      <c r="D20" s="389"/>
      <c r="E20" s="389"/>
      <c r="F20" s="389"/>
      <c r="G20" s="389"/>
      <c r="H20" s="79" t="s">
        <v>21</v>
      </c>
      <c r="I20" s="79" t="s">
        <v>22</v>
      </c>
    </row>
    <row r="21" spans="1:12" x14ac:dyDescent="0.2">
      <c r="A21" s="79" t="s">
        <v>1</v>
      </c>
      <c r="B21" s="373" t="s">
        <v>23</v>
      </c>
      <c r="C21" s="373"/>
      <c r="D21" s="373"/>
      <c r="E21" s="373"/>
      <c r="F21" s="373"/>
      <c r="G21" s="373"/>
      <c r="H21" s="4"/>
      <c r="I21" s="5">
        <f>I15</f>
        <v>50</v>
      </c>
      <c r="L21" s="20">
        <f>I35+I46+I71+I81</f>
        <v>1.5999999999999999</v>
      </c>
    </row>
    <row r="22" spans="1:12" x14ac:dyDescent="0.2">
      <c r="A22" s="79" t="s">
        <v>3</v>
      </c>
      <c r="B22" s="373" t="s">
        <v>24</v>
      </c>
      <c r="C22" s="373"/>
      <c r="D22" s="373"/>
      <c r="E22" s="373"/>
      <c r="F22" s="373"/>
      <c r="G22" s="373"/>
      <c r="H22" s="6"/>
      <c r="I22" s="5">
        <v>0</v>
      </c>
      <c r="L22" s="53">
        <f>L21/I28</f>
        <v>3.2000000000000001E-2</v>
      </c>
    </row>
    <row r="23" spans="1:12" x14ac:dyDescent="0.2">
      <c r="A23" s="79" t="s">
        <v>5</v>
      </c>
      <c r="B23" s="373" t="s">
        <v>25</v>
      </c>
      <c r="C23" s="373"/>
      <c r="D23" s="373"/>
      <c r="E23" s="373"/>
      <c r="F23" s="373"/>
      <c r="G23" s="373"/>
      <c r="H23" s="6">
        <v>0</v>
      </c>
      <c r="I23" s="5">
        <f>I21*H23</f>
        <v>0</v>
      </c>
    </row>
    <row r="24" spans="1:12" x14ac:dyDescent="0.2">
      <c r="A24" s="79" t="s">
        <v>7</v>
      </c>
      <c r="B24" s="373" t="s">
        <v>26</v>
      </c>
      <c r="C24" s="373"/>
      <c r="D24" s="373"/>
      <c r="E24" s="373"/>
      <c r="F24" s="373"/>
      <c r="G24" s="373"/>
      <c r="H24" s="6"/>
      <c r="I24" s="5">
        <v>0</v>
      </c>
    </row>
    <row r="25" spans="1:12" x14ac:dyDescent="0.2">
      <c r="A25" s="79" t="s">
        <v>27</v>
      </c>
      <c r="B25" s="373" t="s">
        <v>28</v>
      </c>
      <c r="C25" s="373"/>
      <c r="D25" s="373"/>
      <c r="E25" s="373"/>
      <c r="F25" s="373"/>
      <c r="G25" s="373"/>
      <c r="H25" s="6"/>
      <c r="I25" s="5">
        <v>0</v>
      </c>
    </row>
    <row r="26" spans="1:12" x14ac:dyDescent="0.2">
      <c r="A26" s="79" t="s">
        <v>29</v>
      </c>
      <c r="B26" s="373" t="s">
        <v>30</v>
      </c>
      <c r="C26" s="373"/>
      <c r="D26" s="373"/>
      <c r="E26" s="373"/>
      <c r="F26" s="373"/>
      <c r="G26" s="373"/>
      <c r="H26" s="6"/>
      <c r="I26" s="5">
        <v>0</v>
      </c>
    </row>
    <row r="27" spans="1:12" x14ac:dyDescent="0.2">
      <c r="A27" s="79"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50</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79" t="s">
        <v>21</v>
      </c>
      <c r="I31" s="79" t="s">
        <v>22</v>
      </c>
      <c r="J31" s="48"/>
    </row>
    <row r="32" spans="1:12" x14ac:dyDescent="0.2">
      <c r="A32" s="79" t="s">
        <v>1</v>
      </c>
      <c r="B32" s="373" t="s">
        <v>36</v>
      </c>
      <c r="C32" s="373"/>
      <c r="D32" s="373"/>
      <c r="E32" s="373"/>
      <c r="F32" s="373"/>
      <c r="G32" s="373"/>
      <c r="H32" s="10">
        <v>0</v>
      </c>
      <c r="I32" s="5">
        <f>$I$28*H32</f>
        <v>0</v>
      </c>
      <c r="J32" s="48"/>
    </row>
    <row r="33" spans="1:11" x14ac:dyDescent="0.2">
      <c r="A33" s="79" t="s">
        <v>3</v>
      </c>
      <c r="B33" s="373" t="s">
        <v>185</v>
      </c>
      <c r="C33" s="373"/>
      <c r="D33" s="373"/>
      <c r="E33" s="373"/>
      <c r="F33" s="373"/>
      <c r="G33" s="373"/>
      <c r="H33" s="11">
        <v>0</v>
      </c>
      <c r="I33" s="5">
        <f>H33*I28</f>
        <v>0</v>
      </c>
      <c r="J33" s="48"/>
    </row>
    <row r="34" spans="1:11" x14ac:dyDescent="0.2">
      <c r="A34" s="79" t="s">
        <v>132</v>
      </c>
      <c r="B34" s="373" t="s">
        <v>133</v>
      </c>
      <c r="C34" s="373"/>
      <c r="D34" s="373"/>
      <c r="E34" s="373"/>
      <c r="F34" s="373"/>
      <c r="G34" s="373"/>
      <c r="H34" s="11">
        <f>(H32+H33)*H46</f>
        <v>0</v>
      </c>
      <c r="I34" s="5">
        <f>I28*H34</f>
        <v>0</v>
      </c>
      <c r="J34" s="48"/>
    </row>
    <row r="35" spans="1:11" x14ac:dyDescent="0.2">
      <c r="A35" s="389" t="s">
        <v>37</v>
      </c>
      <c r="B35" s="389"/>
      <c r="C35" s="389"/>
      <c r="D35" s="389"/>
      <c r="E35" s="389"/>
      <c r="F35" s="389"/>
      <c r="G35" s="389"/>
      <c r="H35" s="12">
        <f>TRUNC(SUM(H32:H33),4)</f>
        <v>0</v>
      </c>
      <c r="I35" s="13">
        <f>SUM(I32:I34)</f>
        <v>0</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79" t="s">
        <v>21</v>
      </c>
      <c r="I37" s="79" t="s">
        <v>22</v>
      </c>
      <c r="J37" s="48"/>
      <c r="K37" s="404"/>
    </row>
    <row r="38" spans="1:11" x14ac:dyDescent="0.2">
      <c r="A38" s="79" t="s">
        <v>1</v>
      </c>
      <c r="B38" s="373" t="s">
        <v>39</v>
      </c>
      <c r="C38" s="373"/>
      <c r="D38" s="373"/>
      <c r="E38" s="373"/>
      <c r="F38" s="373"/>
      <c r="G38" s="373"/>
      <c r="H38" s="10">
        <v>0</v>
      </c>
      <c r="I38" s="5">
        <f>($I$28)*H38</f>
        <v>0</v>
      </c>
      <c r="J38" s="48"/>
      <c r="K38" s="404"/>
    </row>
    <row r="39" spans="1:11" x14ac:dyDescent="0.2">
      <c r="A39" s="79" t="s">
        <v>3</v>
      </c>
      <c r="B39" s="373" t="s">
        <v>40</v>
      </c>
      <c r="C39" s="373"/>
      <c r="D39" s="373"/>
      <c r="E39" s="373"/>
      <c r="F39" s="373"/>
      <c r="G39" s="373"/>
      <c r="H39" s="10">
        <v>0</v>
      </c>
      <c r="I39" s="5">
        <f t="shared" ref="I39:I45" si="0">($I$28)*H39</f>
        <v>0</v>
      </c>
      <c r="J39" s="48"/>
      <c r="K39" s="404"/>
    </row>
    <row r="40" spans="1:11" x14ac:dyDescent="0.2">
      <c r="A40" s="79" t="s">
        <v>5</v>
      </c>
      <c r="B40" s="373" t="s">
        <v>41</v>
      </c>
      <c r="C40" s="373"/>
      <c r="D40" s="373"/>
      <c r="E40" s="373"/>
      <c r="F40" s="373"/>
      <c r="G40" s="373"/>
      <c r="H40" s="10">
        <v>0</v>
      </c>
      <c r="I40" s="5">
        <f t="shared" si="0"/>
        <v>0</v>
      </c>
      <c r="J40" s="48"/>
      <c r="K40" s="404"/>
    </row>
    <row r="41" spans="1:11" x14ac:dyDescent="0.2">
      <c r="A41" s="79" t="s">
        <v>7</v>
      </c>
      <c r="B41" s="373" t="s">
        <v>42</v>
      </c>
      <c r="C41" s="373"/>
      <c r="D41" s="373"/>
      <c r="E41" s="373"/>
      <c r="F41" s="373"/>
      <c r="G41" s="373"/>
      <c r="H41" s="10">
        <v>0</v>
      </c>
      <c r="I41" s="5">
        <f t="shared" si="0"/>
        <v>0</v>
      </c>
      <c r="J41" s="48"/>
      <c r="K41" s="404"/>
    </row>
    <row r="42" spans="1:11" x14ac:dyDescent="0.2">
      <c r="A42" s="79" t="s">
        <v>27</v>
      </c>
      <c r="B42" s="373" t="s">
        <v>43</v>
      </c>
      <c r="C42" s="373"/>
      <c r="D42" s="373"/>
      <c r="E42" s="373"/>
      <c r="F42" s="373"/>
      <c r="G42" s="373"/>
      <c r="H42" s="10">
        <v>0</v>
      </c>
      <c r="I42" s="5">
        <f t="shared" si="0"/>
        <v>0</v>
      </c>
      <c r="J42" s="48"/>
      <c r="K42" s="404"/>
    </row>
    <row r="43" spans="1:11" x14ac:dyDescent="0.2">
      <c r="A43" s="79" t="s">
        <v>29</v>
      </c>
      <c r="B43" s="373" t="s">
        <v>44</v>
      </c>
      <c r="C43" s="373"/>
      <c r="D43" s="373"/>
      <c r="E43" s="373"/>
      <c r="F43" s="373"/>
      <c r="G43" s="373"/>
      <c r="H43" s="10">
        <v>0</v>
      </c>
      <c r="I43" s="5">
        <f t="shared" si="0"/>
        <v>0</v>
      </c>
      <c r="J43" s="48"/>
      <c r="K43" s="404"/>
    </row>
    <row r="44" spans="1:11" x14ac:dyDescent="0.2">
      <c r="A44" s="79" t="s">
        <v>31</v>
      </c>
      <c r="B44" s="373" t="s">
        <v>45</v>
      </c>
      <c r="C44" s="373"/>
      <c r="D44" s="373"/>
      <c r="E44" s="373"/>
      <c r="F44" s="373"/>
      <c r="G44" s="373"/>
      <c r="H44" s="10">
        <v>0</v>
      </c>
      <c r="I44" s="5">
        <f t="shared" si="0"/>
        <v>0</v>
      </c>
      <c r="J44" s="48"/>
      <c r="K44" s="404"/>
    </row>
    <row r="45" spans="1:11" x14ac:dyDescent="0.2">
      <c r="A45" s="79" t="s">
        <v>46</v>
      </c>
      <c r="B45" s="373" t="s">
        <v>47</v>
      </c>
      <c r="C45" s="373"/>
      <c r="D45" s="373"/>
      <c r="E45" s="373"/>
      <c r="F45" s="373"/>
      <c r="G45" s="373"/>
      <c r="H45" s="10">
        <v>0</v>
      </c>
      <c r="I45" s="5">
        <f t="shared" si="0"/>
        <v>0</v>
      </c>
      <c r="J45" s="48"/>
      <c r="K45" s="404"/>
    </row>
    <row r="46" spans="1:11" x14ac:dyDescent="0.2">
      <c r="A46" s="389" t="s">
        <v>48</v>
      </c>
      <c r="B46" s="389"/>
      <c r="C46" s="389"/>
      <c r="D46" s="389"/>
      <c r="E46" s="389"/>
      <c r="F46" s="389"/>
      <c r="G46" s="389"/>
      <c r="H46" s="12">
        <f>SUM(H38:H45)</f>
        <v>0</v>
      </c>
      <c r="I46" s="13">
        <f>(SUM(I38:I45))</f>
        <v>0</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79" t="s">
        <v>22</v>
      </c>
      <c r="J48" s="48"/>
    </row>
    <row r="49" spans="1:10" x14ac:dyDescent="0.2">
      <c r="A49" s="79" t="s">
        <v>1</v>
      </c>
      <c r="B49" s="393" t="s">
        <v>125</v>
      </c>
      <c r="C49" s="393"/>
      <c r="D49" s="393"/>
      <c r="E49" s="393"/>
      <c r="F49" s="393"/>
      <c r="G49" s="393"/>
      <c r="H49" s="55">
        <v>4</v>
      </c>
      <c r="I49" s="14">
        <v>0</v>
      </c>
      <c r="J49" s="48"/>
    </row>
    <row r="50" spans="1:10" x14ac:dyDescent="0.2">
      <c r="A50" s="79" t="s">
        <v>3</v>
      </c>
      <c r="B50" s="393" t="s">
        <v>124</v>
      </c>
      <c r="C50" s="393"/>
      <c r="D50" s="393"/>
      <c r="E50" s="393"/>
      <c r="F50" s="393"/>
      <c r="G50" s="393"/>
      <c r="H50" s="55">
        <v>418</v>
      </c>
      <c r="I50" s="15">
        <v>0</v>
      </c>
      <c r="J50" s="49"/>
    </row>
    <row r="51" spans="1:10" x14ac:dyDescent="0.2">
      <c r="A51" s="79" t="s">
        <v>5</v>
      </c>
      <c r="B51" s="393" t="s">
        <v>126</v>
      </c>
      <c r="C51" s="393"/>
      <c r="D51" s="393"/>
      <c r="E51" s="393"/>
      <c r="F51" s="393"/>
      <c r="G51" s="393"/>
      <c r="H51" s="55">
        <v>0</v>
      </c>
      <c r="I51" s="14">
        <f>H51</f>
        <v>0</v>
      </c>
      <c r="J51" s="48"/>
    </row>
    <row r="52" spans="1:10" x14ac:dyDescent="0.2">
      <c r="A52" s="79" t="s">
        <v>7</v>
      </c>
      <c r="B52" s="397" t="s">
        <v>127</v>
      </c>
      <c r="C52" s="398"/>
      <c r="D52" s="398"/>
      <c r="E52" s="398"/>
      <c r="F52" s="398"/>
      <c r="G52" s="399"/>
      <c r="H52" s="55">
        <v>0</v>
      </c>
      <c r="I52" s="14">
        <f>H52</f>
        <v>0</v>
      </c>
      <c r="J52" s="48"/>
    </row>
    <row r="53" spans="1:10" x14ac:dyDescent="0.2">
      <c r="A53" s="79" t="s">
        <v>27</v>
      </c>
      <c r="B53" s="373" t="s">
        <v>131</v>
      </c>
      <c r="C53" s="373"/>
      <c r="D53" s="373"/>
      <c r="E53" s="373"/>
      <c r="F53" s="373"/>
      <c r="G53" s="373"/>
      <c r="H53" s="55">
        <v>8</v>
      </c>
      <c r="I53" s="14">
        <v>0</v>
      </c>
      <c r="J53" s="48"/>
    </row>
    <row r="54" spans="1:10" x14ac:dyDescent="0.2">
      <c r="A54" s="389" t="s">
        <v>51</v>
      </c>
      <c r="B54" s="389"/>
      <c r="C54" s="389"/>
      <c r="D54" s="389"/>
      <c r="E54" s="389"/>
      <c r="F54" s="389"/>
      <c r="G54" s="389"/>
      <c r="H54" s="389"/>
      <c r="I54" s="13">
        <f>(SUM(I49:I53))</f>
        <v>0</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79" t="s">
        <v>22</v>
      </c>
      <c r="J57" s="48"/>
    </row>
    <row r="58" spans="1:10" x14ac:dyDescent="0.2">
      <c r="A58" s="79" t="s">
        <v>54</v>
      </c>
      <c r="B58" s="370" t="s">
        <v>55</v>
      </c>
      <c r="C58" s="370"/>
      <c r="D58" s="370"/>
      <c r="E58" s="370"/>
      <c r="F58" s="370"/>
      <c r="G58" s="370"/>
      <c r="H58" s="370"/>
      <c r="I58" s="16">
        <f>I35</f>
        <v>0</v>
      </c>
      <c r="J58" s="48"/>
    </row>
    <row r="59" spans="1:10" x14ac:dyDescent="0.2">
      <c r="A59" s="79" t="s">
        <v>56</v>
      </c>
      <c r="B59" s="370" t="s">
        <v>57</v>
      </c>
      <c r="C59" s="370"/>
      <c r="D59" s="370"/>
      <c r="E59" s="370"/>
      <c r="F59" s="370"/>
      <c r="G59" s="370"/>
      <c r="H59" s="370"/>
      <c r="I59" s="16">
        <f>I46</f>
        <v>0</v>
      </c>
      <c r="J59" s="48"/>
    </row>
    <row r="60" spans="1:10" x14ac:dyDescent="0.2">
      <c r="A60" s="79" t="s">
        <v>58</v>
      </c>
      <c r="B60" s="370" t="s">
        <v>59</v>
      </c>
      <c r="C60" s="370"/>
      <c r="D60" s="370"/>
      <c r="E60" s="370"/>
      <c r="F60" s="370"/>
      <c r="G60" s="370"/>
      <c r="H60" s="370"/>
      <c r="I60" s="16">
        <f>I54</f>
        <v>0</v>
      </c>
      <c r="J60" s="48"/>
    </row>
    <row r="61" spans="1:10" x14ac:dyDescent="0.2">
      <c r="A61" s="389" t="s">
        <v>60</v>
      </c>
      <c r="B61" s="389"/>
      <c r="C61" s="389"/>
      <c r="D61" s="389"/>
      <c r="E61" s="389"/>
      <c r="F61" s="389"/>
      <c r="G61" s="389"/>
      <c r="H61" s="389"/>
      <c r="I61" s="13">
        <f>(SUM(I58:I60))</f>
        <v>0</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79">
        <v>3</v>
      </c>
      <c r="B64" s="389" t="s">
        <v>62</v>
      </c>
      <c r="C64" s="389"/>
      <c r="D64" s="389"/>
      <c r="E64" s="389"/>
      <c r="F64" s="389"/>
      <c r="G64" s="389"/>
      <c r="H64" s="79" t="s">
        <v>21</v>
      </c>
      <c r="I64" s="79" t="s">
        <v>22</v>
      </c>
      <c r="J64" s="48"/>
    </row>
    <row r="65" spans="1:11" x14ac:dyDescent="0.2">
      <c r="A65" s="79" t="s">
        <v>1</v>
      </c>
      <c r="B65" s="373" t="s">
        <v>63</v>
      </c>
      <c r="C65" s="373"/>
      <c r="D65" s="373"/>
      <c r="E65" s="373"/>
      <c r="F65" s="373"/>
      <c r="G65" s="373"/>
      <c r="H65" s="17">
        <v>0</v>
      </c>
      <c r="I65" s="16">
        <f>$I$28*H65</f>
        <v>0</v>
      </c>
      <c r="J65" s="48"/>
    </row>
    <row r="66" spans="1:11" x14ac:dyDescent="0.2">
      <c r="A66" s="79" t="s">
        <v>3</v>
      </c>
      <c r="B66" s="373" t="s">
        <v>64</v>
      </c>
      <c r="C66" s="373"/>
      <c r="D66" s="373"/>
      <c r="E66" s="373"/>
      <c r="F66" s="373"/>
      <c r="G66" s="373"/>
      <c r="H66" s="17">
        <v>0</v>
      </c>
      <c r="I66" s="5">
        <f>H66*I28</f>
        <v>0</v>
      </c>
      <c r="J66" s="48"/>
    </row>
    <row r="67" spans="1:11" x14ac:dyDescent="0.2">
      <c r="A67" s="79" t="s">
        <v>5</v>
      </c>
      <c r="B67" s="373" t="s">
        <v>65</v>
      </c>
      <c r="C67" s="373"/>
      <c r="D67" s="373"/>
      <c r="E67" s="373"/>
      <c r="F67" s="373"/>
      <c r="G67" s="373"/>
      <c r="H67" s="17">
        <v>0.01</v>
      </c>
      <c r="I67" s="5">
        <f>$I$28*H67</f>
        <v>0.5</v>
      </c>
      <c r="J67" s="48"/>
    </row>
    <row r="68" spans="1:11" x14ac:dyDescent="0.2">
      <c r="A68" s="79" t="s">
        <v>7</v>
      </c>
      <c r="B68" s="373" t="s">
        <v>66</v>
      </c>
      <c r="C68" s="373"/>
      <c r="D68" s="373"/>
      <c r="E68" s="373"/>
      <c r="F68" s="373"/>
      <c r="G68" s="373"/>
      <c r="H68" s="17">
        <v>0</v>
      </c>
      <c r="I68" s="5">
        <f>$I$28*H68</f>
        <v>0</v>
      </c>
      <c r="J68" s="48"/>
    </row>
    <row r="69" spans="1:11" x14ac:dyDescent="0.2">
      <c r="A69" s="79" t="s">
        <v>27</v>
      </c>
      <c r="B69" s="373" t="s">
        <v>67</v>
      </c>
      <c r="C69" s="373"/>
      <c r="D69" s="373"/>
      <c r="E69" s="373"/>
      <c r="F69" s="373"/>
      <c r="G69" s="373"/>
      <c r="H69" s="17">
        <v>0</v>
      </c>
      <c r="I69" s="5">
        <f>$I$28*H69</f>
        <v>0</v>
      </c>
      <c r="J69" s="48"/>
    </row>
    <row r="70" spans="1:11" x14ac:dyDescent="0.2">
      <c r="A70" s="79" t="s">
        <v>29</v>
      </c>
      <c r="B70" s="373" t="s">
        <v>68</v>
      </c>
      <c r="C70" s="373"/>
      <c r="D70" s="373"/>
      <c r="E70" s="373"/>
      <c r="F70" s="373"/>
      <c r="G70" s="373"/>
      <c r="H70" s="17">
        <v>2.1999999999999999E-2</v>
      </c>
      <c r="I70" s="5">
        <f>$I$28*H70</f>
        <v>1.0999999999999999</v>
      </c>
      <c r="J70" s="48"/>
      <c r="K70" s="20"/>
    </row>
    <row r="71" spans="1:11" x14ac:dyDescent="0.2">
      <c r="A71" s="389" t="s">
        <v>69</v>
      </c>
      <c r="B71" s="389"/>
      <c r="C71" s="389"/>
      <c r="D71" s="389"/>
      <c r="E71" s="389"/>
      <c r="F71" s="389"/>
      <c r="G71" s="389"/>
      <c r="H71" s="12">
        <f>TRUNC(SUM(H65:H70),4)</f>
        <v>3.2000000000000001E-2</v>
      </c>
      <c r="I71" s="13">
        <f>(SUM(I65:I70))</f>
        <v>1.5999999999999999</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79" t="s">
        <v>21</v>
      </c>
      <c r="I74" s="79" t="s">
        <v>22</v>
      </c>
      <c r="J74" s="48"/>
    </row>
    <row r="75" spans="1:11" x14ac:dyDescent="0.2">
      <c r="A75" s="79" t="s">
        <v>1</v>
      </c>
      <c r="B75" s="373" t="s">
        <v>186</v>
      </c>
      <c r="C75" s="373"/>
      <c r="D75" s="373"/>
      <c r="E75" s="373"/>
      <c r="F75" s="373"/>
      <c r="G75" s="373"/>
      <c r="H75" s="148">
        <v>0</v>
      </c>
      <c r="I75" s="5">
        <f t="shared" ref="I75:I80" si="1">$I$28*H75</f>
        <v>0</v>
      </c>
      <c r="J75" s="48"/>
    </row>
    <row r="76" spans="1:11" x14ac:dyDescent="0.2">
      <c r="A76" s="79" t="s">
        <v>3</v>
      </c>
      <c r="B76" s="373" t="s">
        <v>187</v>
      </c>
      <c r="C76" s="373"/>
      <c r="D76" s="373"/>
      <c r="E76" s="373"/>
      <c r="F76" s="373"/>
      <c r="G76" s="373"/>
      <c r="H76" s="148">
        <v>0</v>
      </c>
      <c r="I76" s="16">
        <f t="shared" si="1"/>
        <v>0</v>
      </c>
      <c r="J76" s="48"/>
    </row>
    <row r="77" spans="1:11" x14ac:dyDescent="0.2">
      <c r="A77" s="79" t="s">
        <v>5</v>
      </c>
      <c r="B77" s="373" t="s">
        <v>188</v>
      </c>
      <c r="C77" s="373"/>
      <c r="D77" s="373"/>
      <c r="E77" s="373"/>
      <c r="F77" s="373"/>
      <c r="G77" s="373"/>
      <c r="H77" s="17">
        <v>0</v>
      </c>
      <c r="I77" s="16">
        <f t="shared" si="1"/>
        <v>0</v>
      </c>
      <c r="J77" s="48"/>
    </row>
    <row r="78" spans="1:11" x14ac:dyDescent="0.2">
      <c r="A78" s="79" t="s">
        <v>7</v>
      </c>
      <c r="B78" s="373" t="s">
        <v>189</v>
      </c>
      <c r="C78" s="373"/>
      <c r="D78" s="373"/>
      <c r="E78" s="373"/>
      <c r="F78" s="373"/>
      <c r="G78" s="373"/>
      <c r="H78" s="148">
        <v>0</v>
      </c>
      <c r="I78" s="16">
        <f t="shared" si="1"/>
        <v>0</v>
      </c>
      <c r="J78" s="48"/>
    </row>
    <row r="79" spans="1:11" x14ac:dyDescent="0.2">
      <c r="A79" s="79" t="s">
        <v>27</v>
      </c>
      <c r="B79" s="373" t="s">
        <v>190</v>
      </c>
      <c r="C79" s="373"/>
      <c r="D79" s="373"/>
      <c r="E79" s="373"/>
      <c r="F79" s="373"/>
      <c r="G79" s="373"/>
      <c r="H79" s="17">
        <v>0</v>
      </c>
      <c r="I79" s="16">
        <f t="shared" si="1"/>
        <v>0</v>
      </c>
      <c r="J79" s="48"/>
    </row>
    <row r="80" spans="1:11" x14ac:dyDescent="0.2">
      <c r="A80" s="79"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0</v>
      </c>
      <c r="I81" s="13">
        <f>(SUM(I75:I80))</f>
        <v>0</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79" t="s">
        <v>21</v>
      </c>
      <c r="I83" s="79" t="s">
        <v>22</v>
      </c>
      <c r="J83" s="48"/>
    </row>
    <row r="84" spans="1:10" x14ac:dyDescent="0.2">
      <c r="A84" s="79"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79" t="s">
        <v>22</v>
      </c>
      <c r="J88" s="48"/>
    </row>
    <row r="89" spans="1:10" x14ac:dyDescent="0.2">
      <c r="A89" s="79" t="s">
        <v>77</v>
      </c>
      <c r="B89" s="370" t="s">
        <v>193</v>
      </c>
      <c r="C89" s="370"/>
      <c r="D89" s="370"/>
      <c r="E89" s="370"/>
      <c r="F89" s="370"/>
      <c r="G89" s="370"/>
      <c r="H89" s="370"/>
      <c r="I89" s="16">
        <f>I81</f>
        <v>0</v>
      </c>
      <c r="J89" s="48"/>
    </row>
    <row r="90" spans="1:10" x14ac:dyDescent="0.2">
      <c r="A90" s="79" t="s">
        <v>78</v>
      </c>
      <c r="B90" s="370" t="s">
        <v>194</v>
      </c>
      <c r="C90" s="370"/>
      <c r="D90" s="370"/>
      <c r="E90" s="370"/>
      <c r="F90" s="370"/>
      <c r="G90" s="370"/>
      <c r="H90" s="370"/>
      <c r="I90" s="16">
        <f>I85</f>
        <v>0</v>
      </c>
      <c r="J90" s="48"/>
    </row>
    <row r="91" spans="1:10" x14ac:dyDescent="0.2">
      <c r="A91" s="125" t="s">
        <v>46</v>
      </c>
      <c r="B91" s="370" t="s">
        <v>195</v>
      </c>
      <c r="C91" s="370"/>
      <c r="D91" s="370"/>
      <c r="E91" s="370"/>
      <c r="F91" s="370"/>
      <c r="G91" s="370"/>
      <c r="H91" s="370"/>
      <c r="I91" s="16">
        <f>(H81*H46)*I89</f>
        <v>0</v>
      </c>
      <c r="J91" s="48"/>
    </row>
    <row r="92" spans="1:10" x14ac:dyDescent="0.2">
      <c r="A92" s="389" t="s">
        <v>79</v>
      </c>
      <c r="B92" s="389"/>
      <c r="C92" s="389"/>
      <c r="D92" s="389"/>
      <c r="E92" s="389"/>
      <c r="F92" s="389"/>
      <c r="G92" s="389"/>
      <c r="H92" s="389"/>
      <c r="I92" s="13">
        <f>(SUM(I89:I90))</f>
        <v>0</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79">
        <v>5</v>
      </c>
      <c r="B95" s="389" t="s">
        <v>81</v>
      </c>
      <c r="C95" s="389"/>
      <c r="D95" s="389"/>
      <c r="E95" s="389"/>
      <c r="F95" s="389"/>
      <c r="G95" s="389"/>
      <c r="H95" s="79"/>
      <c r="I95" s="79" t="s">
        <v>22</v>
      </c>
      <c r="J95" s="48"/>
    </row>
    <row r="96" spans="1:10" x14ac:dyDescent="0.2">
      <c r="A96" s="79" t="s">
        <v>1</v>
      </c>
      <c r="B96" s="393" t="s">
        <v>82</v>
      </c>
      <c r="C96" s="393"/>
      <c r="D96" s="393"/>
      <c r="E96" s="393"/>
      <c r="F96" s="393"/>
      <c r="G96" s="393"/>
      <c r="H96" s="78" t="s">
        <v>50</v>
      </c>
      <c r="I96" s="66">
        <v>0</v>
      </c>
      <c r="J96" s="48"/>
    </row>
    <row r="97" spans="1:13" x14ac:dyDescent="0.2">
      <c r="A97" s="79" t="s">
        <v>3</v>
      </c>
      <c r="B97" s="393" t="s">
        <v>83</v>
      </c>
      <c r="C97" s="393"/>
      <c r="D97" s="393"/>
      <c r="E97" s="393"/>
      <c r="F97" s="393"/>
      <c r="G97" s="393"/>
      <c r="H97" s="78" t="s">
        <v>50</v>
      </c>
      <c r="I97" s="16">
        <v>0</v>
      </c>
      <c r="J97" s="48"/>
    </row>
    <row r="98" spans="1:13" x14ac:dyDescent="0.2">
      <c r="A98" s="21" t="s">
        <v>5</v>
      </c>
      <c r="B98" s="393" t="s">
        <v>84</v>
      </c>
      <c r="C98" s="393"/>
      <c r="D98" s="393"/>
      <c r="E98" s="393"/>
      <c r="F98" s="393"/>
      <c r="G98" s="393"/>
      <c r="H98" s="78" t="s">
        <v>50</v>
      </c>
      <c r="I98" s="16">
        <v>0</v>
      </c>
      <c r="J98" s="48"/>
    </row>
    <row r="99" spans="1:13" x14ac:dyDescent="0.2">
      <c r="A99" s="21" t="s">
        <v>7</v>
      </c>
      <c r="B99" s="393" t="s">
        <v>128</v>
      </c>
      <c r="C99" s="393"/>
      <c r="D99" s="393"/>
      <c r="E99" s="393"/>
      <c r="F99" s="393"/>
      <c r="G99" s="393"/>
      <c r="H99" s="78" t="s">
        <v>50</v>
      </c>
      <c r="I99" s="16">
        <v>0</v>
      </c>
      <c r="J99" s="48"/>
    </row>
    <row r="100" spans="1:13" x14ac:dyDescent="0.2">
      <c r="A100" s="389" t="s">
        <v>85</v>
      </c>
      <c r="B100" s="389"/>
      <c r="C100" s="389"/>
      <c r="D100" s="389"/>
      <c r="E100" s="389"/>
      <c r="F100" s="389"/>
      <c r="G100" s="389"/>
      <c r="H100" s="12" t="s">
        <v>50</v>
      </c>
      <c r="I100" s="13">
        <f>(SUM(I96:I99))</f>
        <v>0</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79">
        <v>6</v>
      </c>
      <c r="B103" s="389" t="s">
        <v>87</v>
      </c>
      <c r="C103" s="389"/>
      <c r="D103" s="389"/>
      <c r="E103" s="389"/>
      <c r="F103" s="389"/>
      <c r="G103" s="389"/>
      <c r="H103" s="79" t="s">
        <v>21</v>
      </c>
      <c r="I103" s="79" t="s">
        <v>22</v>
      </c>
      <c r="J103" s="48"/>
      <c r="K103" s="52">
        <f>'ANEXO VII'!M57</f>
        <v>197.15170301310718</v>
      </c>
    </row>
    <row r="104" spans="1:13" x14ac:dyDescent="0.2">
      <c r="A104" s="79" t="s">
        <v>1</v>
      </c>
      <c r="B104" s="373" t="s">
        <v>88</v>
      </c>
      <c r="C104" s="373"/>
      <c r="D104" s="373"/>
      <c r="E104" s="373"/>
      <c r="F104" s="373"/>
      <c r="G104" s="373"/>
      <c r="H104" s="22">
        <v>5.21E-2</v>
      </c>
      <c r="I104" s="16">
        <f>I120*H104</f>
        <v>2.6883600000000003</v>
      </c>
      <c r="J104" s="48"/>
      <c r="M104" s="52"/>
    </row>
    <row r="105" spans="1:13" x14ac:dyDescent="0.2">
      <c r="A105" s="79" t="s">
        <v>3</v>
      </c>
      <c r="B105" s="373" t="s">
        <v>89</v>
      </c>
      <c r="C105" s="373"/>
      <c r="D105" s="373"/>
      <c r="E105" s="373"/>
      <c r="F105" s="373"/>
      <c r="G105" s="373"/>
      <c r="H105" s="22">
        <v>0.05</v>
      </c>
      <c r="I105" s="16">
        <f>(I120+I104)*H105</f>
        <v>2.7144180000000002</v>
      </c>
      <c r="J105" s="48"/>
    </row>
    <row r="106" spans="1:13" x14ac:dyDescent="0.2">
      <c r="A106" s="79" t="s">
        <v>5</v>
      </c>
      <c r="B106" s="392" t="s">
        <v>90</v>
      </c>
      <c r="C106" s="392"/>
      <c r="D106" s="392"/>
      <c r="E106" s="392"/>
      <c r="F106" s="392"/>
      <c r="G106" s="392"/>
      <c r="H106" s="23">
        <f>H107+H108+H109</f>
        <v>8.6499999999999994E-2</v>
      </c>
      <c r="I106" s="24"/>
      <c r="J106" s="48"/>
    </row>
    <row r="107" spans="1:13" x14ac:dyDescent="0.2">
      <c r="A107" s="79" t="s">
        <v>91</v>
      </c>
      <c r="B107" s="373" t="s">
        <v>92</v>
      </c>
      <c r="C107" s="373"/>
      <c r="D107" s="373"/>
      <c r="E107" s="373"/>
      <c r="F107" s="373"/>
      <c r="G107" s="373"/>
      <c r="H107" s="25">
        <v>6.4999999999999997E-3</v>
      </c>
      <c r="I107" s="16">
        <f>K110*H107</f>
        <v>0.40560268965517243</v>
      </c>
      <c r="J107" s="48"/>
      <c r="K107" s="65">
        <f>1-H106</f>
        <v>0.91349999999999998</v>
      </c>
    </row>
    <row r="108" spans="1:13" x14ac:dyDescent="0.2">
      <c r="A108" s="79" t="s">
        <v>93</v>
      </c>
      <c r="B108" s="373" t="s">
        <v>94</v>
      </c>
      <c r="C108" s="373"/>
      <c r="D108" s="373"/>
      <c r="E108" s="373"/>
      <c r="F108" s="373"/>
      <c r="G108" s="373"/>
      <c r="H108" s="25">
        <v>0.03</v>
      </c>
      <c r="I108" s="16">
        <f>K110*H108</f>
        <v>1.8720124137931036</v>
      </c>
      <c r="J108" s="48"/>
      <c r="K108" s="45">
        <f>K107/1</f>
        <v>0.91349999999999998</v>
      </c>
    </row>
    <row r="109" spans="1:13" x14ac:dyDescent="0.2">
      <c r="A109" s="79" t="s">
        <v>95</v>
      </c>
      <c r="B109" s="373" t="s">
        <v>96</v>
      </c>
      <c r="C109" s="373"/>
      <c r="D109" s="373"/>
      <c r="E109" s="373"/>
      <c r="F109" s="373"/>
      <c r="G109" s="373"/>
      <c r="H109" s="26">
        <v>0.05</v>
      </c>
      <c r="I109" s="16">
        <f>K110*H109</f>
        <v>3.1200206896551728</v>
      </c>
      <c r="J109" s="48"/>
      <c r="K109" s="20">
        <f>I120+I104+I105</f>
        <v>57.002778000000006</v>
      </c>
    </row>
    <row r="110" spans="1:13" x14ac:dyDescent="0.2">
      <c r="A110" s="389" t="s">
        <v>97</v>
      </c>
      <c r="B110" s="389"/>
      <c r="C110" s="389"/>
      <c r="D110" s="389"/>
      <c r="E110" s="389"/>
      <c r="F110" s="389"/>
      <c r="G110" s="389"/>
      <c r="H110" s="25">
        <f>SUM(H104+H105+H106)</f>
        <v>0.18859999999999999</v>
      </c>
      <c r="I110" s="13">
        <f>(SUM(I104:I109))</f>
        <v>10.800413793103449</v>
      </c>
      <c r="J110" s="48"/>
      <c r="K110" s="20">
        <f>K109/K108</f>
        <v>62.400413793103453</v>
      </c>
    </row>
    <row r="111" spans="1:13" x14ac:dyDescent="0.2">
      <c r="A111" s="81"/>
      <c r="B111" s="390"/>
      <c r="C111" s="390"/>
      <c r="D111" s="390"/>
      <c r="E111" s="390"/>
      <c r="F111" s="390"/>
      <c r="G111" s="390"/>
      <c r="H111" s="390"/>
      <c r="I111" s="390"/>
    </row>
    <row r="112" spans="1:13" x14ac:dyDescent="0.2">
      <c r="A112" s="81"/>
      <c r="B112" s="81"/>
      <c r="C112" s="81"/>
      <c r="D112" s="81"/>
      <c r="E112" s="81"/>
      <c r="F112" s="81"/>
      <c r="G112" s="81"/>
      <c r="H112" s="81"/>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79" t="s">
        <v>22</v>
      </c>
    </row>
    <row r="115" spans="1:12" x14ac:dyDescent="0.2">
      <c r="A115" s="78" t="s">
        <v>1</v>
      </c>
      <c r="B115" s="373" t="str">
        <f>A19</f>
        <v>MÓDULO 1 - COMPOSIÇÃO DA REMUNERAÇÃO</v>
      </c>
      <c r="C115" s="373"/>
      <c r="D115" s="373"/>
      <c r="E115" s="373"/>
      <c r="F115" s="373"/>
      <c r="G115" s="373"/>
      <c r="H115" s="373"/>
      <c r="I115" s="16">
        <f>I28</f>
        <v>50</v>
      </c>
      <c r="K115" s="20"/>
      <c r="L115" s="53"/>
    </row>
    <row r="116" spans="1:12" x14ac:dyDescent="0.2">
      <c r="A116" s="78" t="s">
        <v>3</v>
      </c>
      <c r="B116" s="373" t="str">
        <f>A30</f>
        <v>MÓDULO 2 – ENCARGOS E BENEFÍCIOS ANUAIS, MENSAIS E DIÁRIOS</v>
      </c>
      <c r="C116" s="373"/>
      <c r="D116" s="373"/>
      <c r="E116" s="373"/>
      <c r="F116" s="373"/>
      <c r="G116" s="373"/>
      <c r="H116" s="373"/>
      <c r="I116" s="16">
        <f>I61</f>
        <v>0</v>
      </c>
    </row>
    <row r="117" spans="1:12" x14ac:dyDescent="0.2">
      <c r="A117" s="78" t="s">
        <v>5</v>
      </c>
      <c r="B117" s="373" t="str">
        <f>A63</f>
        <v>MÓDULO 3 – PROVISÃO PARA RESCISÃO</v>
      </c>
      <c r="C117" s="373"/>
      <c r="D117" s="373"/>
      <c r="E117" s="373"/>
      <c r="F117" s="373"/>
      <c r="G117" s="373"/>
      <c r="H117" s="373"/>
      <c r="I117" s="16">
        <f>I71</f>
        <v>1.5999999999999999</v>
      </c>
    </row>
    <row r="118" spans="1:12" x14ac:dyDescent="0.2">
      <c r="A118" s="78" t="s">
        <v>7</v>
      </c>
      <c r="B118" s="373" t="str">
        <f>A73</f>
        <v>MÓDULO 4 – CUSTO DE REPOSIÇÃO DO PROFISSIONAL AUSENTE</v>
      </c>
      <c r="C118" s="373"/>
      <c r="D118" s="373"/>
      <c r="E118" s="373"/>
      <c r="F118" s="373"/>
      <c r="G118" s="373"/>
      <c r="H118" s="373"/>
      <c r="I118" s="16">
        <f>I92</f>
        <v>0</v>
      </c>
    </row>
    <row r="119" spans="1:12" x14ac:dyDescent="0.2">
      <c r="A119" s="78" t="s">
        <v>27</v>
      </c>
      <c r="B119" s="373" t="str">
        <f>A94</f>
        <v>MÓDULO 5 – INSUMOS DIVERSOS</v>
      </c>
      <c r="C119" s="373"/>
      <c r="D119" s="373"/>
      <c r="E119" s="373"/>
      <c r="F119" s="373"/>
      <c r="G119" s="373"/>
      <c r="H119" s="373"/>
      <c r="I119" s="16">
        <f>I100</f>
        <v>0</v>
      </c>
    </row>
    <row r="120" spans="1:12" x14ac:dyDescent="0.2">
      <c r="A120" s="79"/>
      <c r="B120" s="389" t="s">
        <v>100</v>
      </c>
      <c r="C120" s="389"/>
      <c r="D120" s="389"/>
      <c r="E120" s="389"/>
      <c r="F120" s="389"/>
      <c r="G120" s="389"/>
      <c r="H120" s="389"/>
      <c r="I120" s="13">
        <f>(SUM(I115:I119))</f>
        <v>51.6</v>
      </c>
    </row>
    <row r="121" spans="1:12" x14ac:dyDescent="0.2">
      <c r="A121" s="78" t="s">
        <v>29</v>
      </c>
      <c r="B121" s="373" t="str">
        <f>A102</f>
        <v>MÓDULO 6 – CUSTOS INDIRETOS, TRIBUTOS E LUCRO</v>
      </c>
      <c r="C121" s="373"/>
      <c r="D121" s="373"/>
      <c r="E121" s="373"/>
      <c r="F121" s="373"/>
      <c r="G121" s="373"/>
      <c r="H121" s="373"/>
      <c r="I121" s="5">
        <f>I110</f>
        <v>10.800413793103449</v>
      </c>
    </row>
    <row r="122" spans="1:12" x14ac:dyDescent="0.2">
      <c r="A122" s="389" t="s">
        <v>101</v>
      </c>
      <c r="B122" s="389"/>
      <c r="C122" s="389"/>
      <c r="D122" s="389"/>
      <c r="E122" s="389"/>
      <c r="F122" s="389"/>
      <c r="G122" s="389"/>
      <c r="H122" s="389"/>
      <c r="I122" s="13">
        <f>(SUM(I120:I121))</f>
        <v>62.400413793103453</v>
      </c>
      <c r="K122" s="51"/>
    </row>
    <row r="123" spans="1:12" hidden="1" x14ac:dyDescent="0.2">
      <c r="A123" s="81" t="s">
        <v>114</v>
      </c>
      <c r="B123" s="379" t="s">
        <v>115</v>
      </c>
      <c r="C123" s="379"/>
      <c r="D123" s="379"/>
      <c r="E123" s="379"/>
      <c r="F123" s="379"/>
      <c r="G123" s="379"/>
      <c r="H123" s="8"/>
      <c r="I123" s="8"/>
    </row>
    <row r="124" spans="1:12" ht="13.5" hidden="1" thickBot="1" x14ac:dyDescent="0.25">
      <c r="A124" s="380" t="s">
        <v>116</v>
      </c>
      <c r="B124" s="380"/>
      <c r="C124" s="380"/>
      <c r="D124" s="380"/>
      <c r="E124" s="380"/>
      <c r="F124" s="380"/>
      <c r="G124" s="380"/>
      <c r="H124" s="380"/>
      <c r="I124" s="380"/>
    </row>
    <row r="125" spans="1:12" ht="13.5" hidden="1" thickBot="1" x14ac:dyDescent="0.25">
      <c r="A125" s="83"/>
      <c r="B125" s="371" t="s">
        <v>117</v>
      </c>
      <c r="C125" s="371"/>
      <c r="D125" s="371"/>
      <c r="E125" s="371"/>
      <c r="F125" s="371"/>
      <c r="G125" s="371"/>
      <c r="H125" s="371"/>
      <c r="I125" s="84" t="s">
        <v>22</v>
      </c>
    </row>
    <row r="126" spans="1:12" hidden="1" x14ac:dyDescent="0.2">
      <c r="A126" s="41" t="s">
        <v>1</v>
      </c>
      <c r="B126" s="372" t="s">
        <v>118</v>
      </c>
      <c r="C126" s="372"/>
      <c r="D126" s="372"/>
      <c r="E126" s="372"/>
      <c r="F126" s="372"/>
      <c r="G126" s="372"/>
      <c r="H126" s="372"/>
      <c r="I126" s="42">
        <f>I107</f>
        <v>0.40560268965517243</v>
      </c>
    </row>
    <row r="127" spans="1:12" hidden="1" x14ac:dyDescent="0.2">
      <c r="A127" s="43" t="s">
        <v>3</v>
      </c>
      <c r="B127" s="373" t="s">
        <v>119</v>
      </c>
      <c r="C127" s="373"/>
      <c r="D127" s="373"/>
      <c r="E127" s="373"/>
      <c r="F127" s="373"/>
      <c r="G127" s="373"/>
      <c r="H127" s="373"/>
      <c r="I127" s="44" t="e">
        <f>#REF!</f>
        <v>#REF!</v>
      </c>
    </row>
    <row r="128" spans="1:12" ht="13.5" hidden="1" thickBot="1" x14ac:dyDescent="0.25">
      <c r="A128" s="43" t="s">
        <v>5</v>
      </c>
      <c r="B128" s="374" t="s">
        <v>120</v>
      </c>
      <c r="C128" s="374"/>
      <c r="D128" s="374"/>
      <c r="E128" s="374"/>
      <c r="F128" s="374"/>
      <c r="G128" s="374"/>
      <c r="H128" s="374"/>
      <c r="I128" s="44">
        <f>I110</f>
        <v>10.800413793103449</v>
      </c>
    </row>
    <row r="129" spans="1:9" ht="13.5" hidden="1" thickBot="1" x14ac:dyDescent="0.25">
      <c r="A129" s="375" t="s">
        <v>121</v>
      </c>
      <c r="B129" s="375"/>
      <c r="C129" s="375"/>
      <c r="D129" s="375"/>
      <c r="E129" s="375"/>
      <c r="F129" s="375"/>
      <c r="G129" s="375"/>
      <c r="H129" s="375"/>
      <c r="I129" s="40" t="e">
        <f>SUM(I126:I128)</f>
        <v>#REF!</v>
      </c>
    </row>
    <row r="130" spans="1:9" hidden="1" x14ac:dyDescent="0.2">
      <c r="A130" s="81" t="s">
        <v>122</v>
      </c>
      <c r="B130" s="45" t="s">
        <v>123</v>
      </c>
    </row>
    <row r="131" spans="1:9" x14ac:dyDescent="0.2">
      <c r="A131" s="389" t="s">
        <v>170</v>
      </c>
      <c r="B131" s="389"/>
      <c r="C131" s="389"/>
      <c r="D131" s="389"/>
      <c r="E131" s="389"/>
      <c r="F131" s="389"/>
      <c r="G131" s="389"/>
      <c r="H131" s="389"/>
      <c r="I131" s="55">
        <f>I122*15</f>
        <v>936.00620689655182</v>
      </c>
    </row>
    <row r="132" spans="1:9" x14ac:dyDescent="0.2">
      <c r="A132" s="389" t="s">
        <v>171</v>
      </c>
      <c r="B132" s="389"/>
      <c r="C132" s="389"/>
      <c r="D132" s="389"/>
      <c r="E132" s="389"/>
      <c r="F132" s="389"/>
      <c r="G132" s="389"/>
      <c r="H132" s="389"/>
      <c r="I132" s="55">
        <f>I131*12</f>
        <v>11232.074482758622</v>
      </c>
    </row>
  </sheetData>
  <mergeCells count="150">
    <mergeCell ref="B125:H125"/>
    <mergeCell ref="B126:H126"/>
    <mergeCell ref="B127:H127"/>
    <mergeCell ref="B128:H128"/>
    <mergeCell ref="A129:H129"/>
    <mergeCell ref="A131:H131"/>
    <mergeCell ref="A132:H132"/>
    <mergeCell ref="B123:G123"/>
    <mergeCell ref="A124:I124"/>
    <mergeCell ref="A122:H122"/>
    <mergeCell ref="B116:H116"/>
    <mergeCell ref="B117:H117"/>
    <mergeCell ref="B118:H118"/>
    <mergeCell ref="B119:H119"/>
    <mergeCell ref="B120:H120"/>
    <mergeCell ref="B121:H121"/>
    <mergeCell ref="B109:G109"/>
    <mergeCell ref="A110:G110"/>
    <mergeCell ref="B111:I111"/>
    <mergeCell ref="A113:I113"/>
    <mergeCell ref="A114:H114"/>
    <mergeCell ref="B115:H115"/>
    <mergeCell ref="B103:G103"/>
    <mergeCell ref="B104:G104"/>
    <mergeCell ref="B105:G105"/>
    <mergeCell ref="B106:G106"/>
    <mergeCell ref="B107:G107"/>
    <mergeCell ref="B108:G108"/>
    <mergeCell ref="B97:G97"/>
    <mergeCell ref="B98:G98"/>
    <mergeCell ref="B99:G99"/>
    <mergeCell ref="A100:G100"/>
    <mergeCell ref="A101:I101"/>
    <mergeCell ref="A102:I102"/>
    <mergeCell ref="B90:H90"/>
    <mergeCell ref="A92:H92"/>
    <mergeCell ref="A93:I93"/>
    <mergeCell ref="A94:I94"/>
    <mergeCell ref="B95:G95"/>
    <mergeCell ref="B96:G96"/>
    <mergeCell ref="B84:G84"/>
    <mergeCell ref="A85:G85"/>
    <mergeCell ref="A86:I86"/>
    <mergeCell ref="A87:I87"/>
    <mergeCell ref="A88:H88"/>
    <mergeCell ref="B89:H89"/>
    <mergeCell ref="B91:H91"/>
    <mergeCell ref="B78:G78"/>
    <mergeCell ref="B79:G79"/>
    <mergeCell ref="B80:G80"/>
    <mergeCell ref="A81:G81"/>
    <mergeCell ref="A82:I82"/>
    <mergeCell ref="A83:G83"/>
    <mergeCell ref="A72:I72"/>
    <mergeCell ref="A73:I73"/>
    <mergeCell ref="A74:G74"/>
    <mergeCell ref="B75:G75"/>
    <mergeCell ref="B76:G76"/>
    <mergeCell ref="B77:G77"/>
    <mergeCell ref="B66:G66"/>
    <mergeCell ref="B67:G67"/>
    <mergeCell ref="B68:G68"/>
    <mergeCell ref="B69:G69"/>
    <mergeCell ref="B70:G70"/>
    <mergeCell ref="A71:G71"/>
    <mergeCell ref="B60:H60"/>
    <mergeCell ref="A61:H61"/>
    <mergeCell ref="A62:I62"/>
    <mergeCell ref="A63:I63"/>
    <mergeCell ref="B64:G64"/>
    <mergeCell ref="B65:G65"/>
    <mergeCell ref="A56:I56"/>
    <mergeCell ref="A57:H57"/>
    <mergeCell ref="B58:H58"/>
    <mergeCell ref="B59:H59"/>
    <mergeCell ref="A48:G48"/>
    <mergeCell ref="B49:G49"/>
    <mergeCell ref="B50:G50"/>
    <mergeCell ref="B51:G51"/>
    <mergeCell ref="B52:G52"/>
    <mergeCell ref="B53:G53"/>
    <mergeCell ref="A46:G46"/>
    <mergeCell ref="A47:I47"/>
    <mergeCell ref="B33:G33"/>
    <mergeCell ref="B34:G34"/>
    <mergeCell ref="A35:G35"/>
    <mergeCell ref="A36:I36"/>
    <mergeCell ref="A37:G37"/>
    <mergeCell ref="A54:H54"/>
    <mergeCell ref="A55:I55"/>
    <mergeCell ref="K37:K45"/>
    <mergeCell ref="B38:G38"/>
    <mergeCell ref="B39:G39"/>
    <mergeCell ref="B40:G40"/>
    <mergeCell ref="B41:G41"/>
    <mergeCell ref="B26:G26"/>
    <mergeCell ref="B27:G27"/>
    <mergeCell ref="A28:H28"/>
    <mergeCell ref="A30:I30"/>
    <mergeCell ref="A31:G31"/>
    <mergeCell ref="B32:G32"/>
    <mergeCell ref="B42:G42"/>
    <mergeCell ref="B43:G43"/>
    <mergeCell ref="B44:G44"/>
    <mergeCell ref="B45:G45"/>
    <mergeCell ref="B20:G20"/>
    <mergeCell ref="B21:G21"/>
    <mergeCell ref="B22:G22"/>
    <mergeCell ref="B23:G23"/>
    <mergeCell ref="B24:G24"/>
    <mergeCell ref="B25:G25"/>
    <mergeCell ref="B14:H14"/>
    <mergeCell ref="B15:H15"/>
    <mergeCell ref="B16:H16"/>
    <mergeCell ref="B17:H17"/>
    <mergeCell ref="A18:I18"/>
    <mergeCell ref="A19:I19"/>
    <mergeCell ref="L11:Q11"/>
    <mergeCell ref="R11:S11"/>
    <mergeCell ref="A12:I12"/>
    <mergeCell ref="L12:Q12"/>
    <mergeCell ref="R12:S12"/>
    <mergeCell ref="B13:H13"/>
    <mergeCell ref="A9:B9"/>
    <mergeCell ref="C9:D9"/>
    <mergeCell ref="E9:I9"/>
    <mergeCell ref="L9:Q9"/>
    <mergeCell ref="R9:S9"/>
    <mergeCell ref="A10:B10"/>
    <mergeCell ref="C10:D10"/>
    <mergeCell ref="E10:I10"/>
    <mergeCell ref="L10:Q10"/>
    <mergeCell ref="R10:S10"/>
    <mergeCell ref="A2:I2"/>
    <mergeCell ref="B5:H5"/>
    <mergeCell ref="K5:S5"/>
    <mergeCell ref="B6:H6"/>
    <mergeCell ref="K6:S6"/>
    <mergeCell ref="K7:S7"/>
    <mergeCell ref="A8:I8"/>
    <mergeCell ref="K8:S8"/>
    <mergeCell ref="K2:S2"/>
    <mergeCell ref="B3:H3"/>
    <mergeCell ref="L3:M3"/>
    <mergeCell ref="N3:Q3"/>
    <mergeCell ref="R3:S3"/>
    <mergeCell ref="B4:H4"/>
    <mergeCell ref="L4:M4"/>
    <mergeCell ref="N4:Q4"/>
    <mergeCell ref="R4:S4"/>
  </mergeCells>
  <pageMargins left="0.25" right="0.25" top="0.75" bottom="0.75" header="0.3" footer="0.3"/>
  <pageSetup paperSize="9" firstPageNumber="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C36EE-E031-4A4B-B5C7-70DC01F3C441}">
  <sheetPr>
    <tabColor rgb="FFFFFF00"/>
  </sheetPr>
  <dimension ref="A2:S149"/>
  <sheetViews>
    <sheetView topLeftCell="B93" zoomScale="118" zoomScaleNormal="118" workbookViewId="0">
      <selection activeCell="J109" sqref="J109"/>
    </sheetView>
  </sheetViews>
  <sheetFormatPr defaultColWidth="9.140625" defaultRowHeight="12.75" x14ac:dyDescent="0.2"/>
  <cols>
    <col min="1" max="1" width="20.7109375" style="45" customWidth="1"/>
    <col min="2" max="2" width="23.7109375" style="45" customWidth="1"/>
    <col min="3" max="3" width="9.140625" style="45"/>
    <col min="4" max="4" width="14.28515625" style="45" customWidth="1"/>
    <col min="5" max="5" width="16.5703125" style="45" customWidth="1"/>
    <col min="6" max="6" width="10.42578125" style="45" bestFit="1" customWidth="1"/>
    <col min="7"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78" t="s">
        <v>1</v>
      </c>
      <c r="B3" s="373" t="s">
        <v>2</v>
      </c>
      <c r="C3" s="373"/>
      <c r="D3" s="373"/>
      <c r="E3" s="373"/>
      <c r="F3" s="373"/>
      <c r="G3" s="373"/>
      <c r="H3" s="373"/>
      <c r="I3" s="1">
        <v>44182</v>
      </c>
      <c r="K3" s="77"/>
      <c r="L3" s="410"/>
      <c r="M3" s="410"/>
      <c r="N3" s="410"/>
      <c r="O3" s="410"/>
      <c r="P3" s="410"/>
      <c r="Q3" s="410"/>
      <c r="R3" s="416"/>
      <c r="S3" s="416"/>
    </row>
    <row r="4" spans="1:19" x14ac:dyDescent="0.2">
      <c r="A4" s="78" t="s">
        <v>3</v>
      </c>
      <c r="B4" s="373" t="s">
        <v>4</v>
      </c>
      <c r="C4" s="373"/>
      <c r="D4" s="373"/>
      <c r="E4" s="373"/>
      <c r="F4" s="373"/>
      <c r="G4" s="373"/>
      <c r="H4" s="373"/>
      <c r="I4" s="78" t="s">
        <v>183</v>
      </c>
      <c r="K4" s="77"/>
      <c r="L4" s="407"/>
      <c r="M4" s="407"/>
      <c r="N4" s="410"/>
      <c r="O4" s="410"/>
      <c r="P4" s="410"/>
      <c r="Q4" s="410"/>
      <c r="R4" s="410"/>
      <c r="S4" s="410"/>
    </row>
    <row r="5" spans="1:19" x14ac:dyDescent="0.2">
      <c r="A5" s="78" t="s">
        <v>5</v>
      </c>
      <c r="B5" s="373" t="s">
        <v>6</v>
      </c>
      <c r="C5" s="373"/>
      <c r="D5" s="373"/>
      <c r="E5" s="373"/>
      <c r="F5" s="373"/>
      <c r="G5" s="373"/>
      <c r="H5" s="373"/>
      <c r="I5" s="78">
        <v>2020</v>
      </c>
      <c r="K5" s="414"/>
      <c r="L5" s="414"/>
      <c r="M5" s="414"/>
      <c r="N5" s="414"/>
      <c r="O5" s="414"/>
      <c r="P5" s="414"/>
      <c r="Q5" s="414"/>
      <c r="R5" s="414"/>
      <c r="S5" s="414"/>
    </row>
    <row r="6" spans="1:19" x14ac:dyDescent="0.2">
      <c r="A6" s="78" t="s">
        <v>7</v>
      </c>
      <c r="B6" s="373" t="s">
        <v>8</v>
      </c>
      <c r="C6" s="373"/>
      <c r="D6" s="373"/>
      <c r="E6" s="373"/>
      <c r="F6" s="373"/>
      <c r="G6" s="373"/>
      <c r="H6" s="373"/>
      <c r="I6" s="78">
        <v>12</v>
      </c>
      <c r="K6" s="414"/>
      <c r="L6" s="414"/>
      <c r="M6" s="414"/>
      <c r="N6" s="414"/>
      <c r="O6" s="414"/>
      <c r="P6" s="414"/>
      <c r="Q6" s="414"/>
      <c r="R6" s="414"/>
      <c r="S6" s="414"/>
    </row>
    <row r="7" spans="1:19" x14ac:dyDescent="0.2">
      <c r="A7" s="81"/>
      <c r="B7" s="80"/>
      <c r="C7" s="80"/>
      <c r="D7" s="80"/>
      <c r="E7" s="80"/>
      <c r="F7" s="80"/>
      <c r="G7" s="80"/>
      <c r="H7" s="81"/>
      <c r="I7" s="81"/>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77"/>
      <c r="L9" s="406"/>
      <c r="M9" s="406"/>
      <c r="N9" s="406"/>
      <c r="O9" s="406"/>
      <c r="P9" s="406"/>
      <c r="Q9" s="406"/>
      <c r="R9" s="410"/>
      <c r="S9" s="410"/>
    </row>
    <row r="10" spans="1:19" ht="27" customHeight="1" x14ac:dyDescent="0.2">
      <c r="A10" s="411" t="s">
        <v>129</v>
      </c>
      <c r="B10" s="411"/>
      <c r="C10" s="370"/>
      <c r="D10" s="370"/>
      <c r="E10" s="412">
        <v>1</v>
      </c>
      <c r="F10" s="412"/>
      <c r="G10" s="412"/>
      <c r="H10" s="412"/>
      <c r="I10" s="412"/>
      <c r="K10" s="76"/>
      <c r="L10" s="408"/>
      <c r="M10" s="408"/>
      <c r="N10" s="408"/>
      <c r="O10" s="408"/>
      <c r="P10" s="408"/>
      <c r="Q10" s="408"/>
      <c r="R10" s="413"/>
      <c r="S10" s="413"/>
    </row>
    <row r="11" spans="1:19" x14ac:dyDescent="0.2">
      <c r="A11" s="81"/>
      <c r="B11" s="80"/>
      <c r="C11" s="80"/>
      <c r="D11" s="80"/>
      <c r="E11" s="80"/>
      <c r="F11" s="80"/>
      <c r="G11" s="80"/>
      <c r="H11" s="81"/>
      <c r="I11" s="81"/>
      <c r="K11" s="77"/>
      <c r="L11" s="406"/>
      <c r="M11" s="406"/>
      <c r="N11" s="406"/>
      <c r="O11" s="406"/>
      <c r="P11" s="406"/>
      <c r="Q11" s="406"/>
      <c r="R11" s="407"/>
      <c r="S11" s="407"/>
    </row>
    <row r="12" spans="1:19" x14ac:dyDescent="0.2">
      <c r="A12" s="395" t="s">
        <v>13</v>
      </c>
      <c r="B12" s="395"/>
      <c r="C12" s="395"/>
      <c r="D12" s="395"/>
      <c r="E12" s="395"/>
      <c r="F12" s="395"/>
      <c r="G12" s="395"/>
      <c r="H12" s="395"/>
      <c r="I12" s="395"/>
      <c r="K12" s="76"/>
      <c r="L12" s="408"/>
      <c r="M12" s="408"/>
      <c r="N12" s="408"/>
      <c r="O12" s="408"/>
      <c r="P12" s="408"/>
      <c r="Q12" s="408"/>
      <c r="R12" s="409"/>
      <c r="S12" s="409"/>
    </row>
    <row r="13" spans="1:19" x14ac:dyDescent="0.2">
      <c r="A13" s="78">
        <v>1</v>
      </c>
      <c r="B13" s="373" t="s">
        <v>14</v>
      </c>
      <c r="C13" s="373"/>
      <c r="D13" s="373"/>
      <c r="E13" s="373"/>
      <c r="F13" s="373"/>
      <c r="G13" s="373"/>
      <c r="H13" s="373"/>
      <c r="I13" s="50" t="s">
        <v>184</v>
      </c>
      <c r="K13" s="2"/>
      <c r="L13" s="2"/>
      <c r="M13" s="2"/>
      <c r="N13" s="2"/>
      <c r="O13" s="2"/>
      <c r="P13" s="2"/>
      <c r="Q13" s="2"/>
      <c r="R13" s="2"/>
      <c r="S13" s="2"/>
    </row>
    <row r="14" spans="1:19" x14ac:dyDescent="0.2">
      <c r="A14" s="78">
        <v>2</v>
      </c>
      <c r="B14" s="373" t="s">
        <v>15</v>
      </c>
      <c r="C14" s="373"/>
      <c r="D14" s="373"/>
      <c r="E14" s="373"/>
      <c r="F14" s="373"/>
      <c r="G14" s="373"/>
      <c r="H14" s="373"/>
      <c r="I14" s="78"/>
    </row>
    <row r="15" spans="1:19" x14ac:dyDescent="0.2">
      <c r="A15" s="78">
        <v>3</v>
      </c>
      <c r="B15" s="373" t="s">
        <v>16</v>
      </c>
      <c r="C15" s="373"/>
      <c r="D15" s="373"/>
      <c r="E15" s="373"/>
      <c r="F15" s="373"/>
      <c r="G15" s="373"/>
      <c r="H15" s="373"/>
      <c r="I15" s="3">
        <v>1075</v>
      </c>
    </row>
    <row r="16" spans="1:19" x14ac:dyDescent="0.2">
      <c r="A16" s="78">
        <v>4</v>
      </c>
      <c r="B16" s="373" t="s">
        <v>17</v>
      </c>
      <c r="C16" s="373"/>
      <c r="D16" s="373"/>
      <c r="E16" s="373"/>
      <c r="F16" s="373"/>
      <c r="G16" s="373"/>
      <c r="H16" s="373"/>
      <c r="I16" s="1" t="str">
        <f>A10</f>
        <v>ASG</v>
      </c>
    </row>
    <row r="17" spans="1:12" x14ac:dyDescent="0.2">
      <c r="A17" s="78">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79">
        <v>1</v>
      </c>
      <c r="B20" s="389" t="s">
        <v>20</v>
      </c>
      <c r="C20" s="389"/>
      <c r="D20" s="389"/>
      <c r="E20" s="389"/>
      <c r="F20" s="389"/>
      <c r="G20" s="389"/>
      <c r="H20" s="79" t="s">
        <v>21</v>
      </c>
      <c r="I20" s="79" t="s">
        <v>22</v>
      </c>
    </row>
    <row r="21" spans="1:12" x14ac:dyDescent="0.2">
      <c r="A21" s="79" t="s">
        <v>1</v>
      </c>
      <c r="B21" s="373" t="s">
        <v>23</v>
      </c>
      <c r="C21" s="373"/>
      <c r="D21" s="373"/>
      <c r="E21" s="373"/>
      <c r="F21" s="373"/>
      <c r="G21" s="373"/>
      <c r="H21" s="4"/>
      <c r="I21" s="5">
        <f>I15</f>
        <v>1075</v>
      </c>
      <c r="L21" s="20">
        <f>I35+I46+I71+I81</f>
        <v>850.32678449999992</v>
      </c>
    </row>
    <row r="22" spans="1:12" x14ac:dyDescent="0.2">
      <c r="A22" s="79" t="s">
        <v>3</v>
      </c>
      <c r="B22" s="373" t="s">
        <v>24</v>
      </c>
      <c r="C22" s="373"/>
      <c r="D22" s="373"/>
      <c r="E22" s="373"/>
      <c r="F22" s="373"/>
      <c r="G22" s="373"/>
      <c r="H22" s="6"/>
      <c r="I22" s="5">
        <v>0</v>
      </c>
      <c r="L22" s="53">
        <f>L21/I28</f>
        <v>0.65916804999999989</v>
      </c>
    </row>
    <row r="23" spans="1:12" x14ac:dyDescent="0.2">
      <c r="A23" s="79" t="s">
        <v>5</v>
      </c>
      <c r="B23" s="373" t="s">
        <v>25</v>
      </c>
      <c r="C23" s="373"/>
      <c r="D23" s="373"/>
      <c r="E23" s="373"/>
      <c r="F23" s="373"/>
      <c r="G23" s="373"/>
      <c r="H23" s="6">
        <v>0.2</v>
      </c>
      <c r="I23" s="5">
        <f>I21*H23</f>
        <v>215</v>
      </c>
    </row>
    <row r="24" spans="1:12" x14ac:dyDescent="0.2">
      <c r="A24" s="79" t="s">
        <v>7</v>
      </c>
      <c r="B24" s="373" t="s">
        <v>26</v>
      </c>
      <c r="C24" s="373"/>
      <c r="D24" s="373"/>
      <c r="E24" s="373"/>
      <c r="F24" s="373"/>
      <c r="G24" s="373"/>
      <c r="H24" s="6"/>
      <c r="I24" s="5">
        <v>0</v>
      </c>
    </row>
    <row r="25" spans="1:12" x14ac:dyDescent="0.2">
      <c r="A25" s="79" t="s">
        <v>27</v>
      </c>
      <c r="B25" s="373" t="s">
        <v>28</v>
      </c>
      <c r="C25" s="373"/>
      <c r="D25" s="373"/>
      <c r="E25" s="373"/>
      <c r="F25" s="373"/>
      <c r="G25" s="373"/>
      <c r="H25" s="6"/>
      <c r="I25" s="5">
        <v>0</v>
      </c>
    </row>
    <row r="26" spans="1:12" x14ac:dyDescent="0.2">
      <c r="A26" s="79" t="s">
        <v>29</v>
      </c>
      <c r="B26" s="373" t="s">
        <v>30</v>
      </c>
      <c r="C26" s="373"/>
      <c r="D26" s="373"/>
      <c r="E26" s="373"/>
      <c r="F26" s="373"/>
      <c r="G26" s="373"/>
      <c r="H26" s="6"/>
      <c r="I26" s="5">
        <v>0</v>
      </c>
    </row>
    <row r="27" spans="1:12" x14ac:dyDescent="0.2">
      <c r="A27" s="79"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1290</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79" t="s">
        <v>21</v>
      </c>
      <c r="I31" s="79" t="s">
        <v>22</v>
      </c>
      <c r="J31" s="48"/>
    </row>
    <row r="32" spans="1:12" x14ac:dyDescent="0.2">
      <c r="A32" s="79" t="s">
        <v>1</v>
      </c>
      <c r="B32" s="373" t="s">
        <v>36</v>
      </c>
      <c r="C32" s="373"/>
      <c r="D32" s="373"/>
      <c r="E32" s="373"/>
      <c r="F32" s="373"/>
      <c r="G32" s="373"/>
      <c r="H32" s="10">
        <v>8.3299999999999999E-2</v>
      </c>
      <c r="I32" s="5">
        <f>$I$28*H32</f>
        <v>107.45699999999999</v>
      </c>
      <c r="J32" s="48"/>
    </row>
    <row r="33" spans="1:11" x14ac:dyDescent="0.2">
      <c r="A33" s="79" t="s">
        <v>3</v>
      </c>
      <c r="B33" s="373" t="s">
        <v>185</v>
      </c>
      <c r="C33" s="373"/>
      <c r="D33" s="373"/>
      <c r="E33" s="373"/>
      <c r="F33" s="373"/>
      <c r="G33" s="373"/>
      <c r="H33" s="11">
        <v>2.7799999999999998E-2</v>
      </c>
      <c r="I33" s="5">
        <f>H33*I28</f>
        <v>35.861999999999995</v>
      </c>
      <c r="J33" s="48"/>
    </row>
    <row r="34" spans="1:11" x14ac:dyDescent="0.2">
      <c r="A34" s="79" t="s">
        <v>132</v>
      </c>
      <c r="B34" s="373" t="s">
        <v>133</v>
      </c>
      <c r="C34" s="373"/>
      <c r="D34" s="373"/>
      <c r="E34" s="373"/>
      <c r="F34" s="373"/>
      <c r="G34" s="373"/>
      <c r="H34" s="11">
        <f>(H32+H33)*H46</f>
        <v>3.9784910000000007E-2</v>
      </c>
      <c r="I34" s="5">
        <f>I28*H34</f>
        <v>51.32253390000001</v>
      </c>
      <c r="J34" s="48"/>
    </row>
    <row r="35" spans="1:11" x14ac:dyDescent="0.2">
      <c r="A35" s="389" t="s">
        <v>37</v>
      </c>
      <c r="B35" s="389"/>
      <c r="C35" s="389"/>
      <c r="D35" s="389"/>
      <c r="E35" s="389"/>
      <c r="F35" s="389"/>
      <c r="G35" s="389"/>
      <c r="H35" s="12">
        <f>TRUNC(SUM(H32:H33),4)</f>
        <v>0.1111</v>
      </c>
      <c r="I35" s="13">
        <f>SUM(I32:I34)</f>
        <v>194.64153390000001</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79" t="s">
        <v>21</v>
      </c>
      <c r="I37" s="79" t="s">
        <v>22</v>
      </c>
      <c r="J37" s="48"/>
      <c r="K37" s="404"/>
    </row>
    <row r="38" spans="1:11" x14ac:dyDescent="0.2">
      <c r="A38" s="79" t="s">
        <v>1</v>
      </c>
      <c r="B38" s="373" t="s">
        <v>39</v>
      </c>
      <c r="C38" s="373"/>
      <c r="D38" s="373"/>
      <c r="E38" s="373"/>
      <c r="F38" s="373"/>
      <c r="G38" s="373"/>
      <c r="H38" s="10">
        <v>0.2</v>
      </c>
      <c r="I38" s="5">
        <f>($I$28)*H38</f>
        <v>258</v>
      </c>
      <c r="J38" s="48"/>
      <c r="K38" s="404"/>
    </row>
    <row r="39" spans="1:11" x14ac:dyDescent="0.2">
      <c r="A39" s="79" t="s">
        <v>3</v>
      </c>
      <c r="B39" s="373" t="s">
        <v>40</v>
      </c>
      <c r="C39" s="373"/>
      <c r="D39" s="373"/>
      <c r="E39" s="373"/>
      <c r="F39" s="373"/>
      <c r="G39" s="373"/>
      <c r="H39" s="10">
        <v>2.5000000000000001E-2</v>
      </c>
      <c r="I39" s="5">
        <f t="shared" ref="I39:I45" si="0">($I$28)*H39</f>
        <v>32.25</v>
      </c>
      <c r="J39" s="48"/>
      <c r="K39" s="404"/>
    </row>
    <row r="40" spans="1:11" x14ac:dyDescent="0.2">
      <c r="A40" s="79" t="s">
        <v>5</v>
      </c>
      <c r="B40" s="373" t="s">
        <v>41</v>
      </c>
      <c r="C40" s="373"/>
      <c r="D40" s="373"/>
      <c r="E40" s="373"/>
      <c r="F40" s="373"/>
      <c r="G40" s="373"/>
      <c r="H40" s="10">
        <v>2.01E-2</v>
      </c>
      <c r="I40" s="5">
        <f t="shared" si="0"/>
        <v>25.928999999999998</v>
      </c>
      <c r="J40" s="48"/>
      <c r="K40" s="404"/>
    </row>
    <row r="41" spans="1:11" x14ac:dyDescent="0.2">
      <c r="A41" s="79" t="s">
        <v>7</v>
      </c>
      <c r="B41" s="373" t="s">
        <v>42</v>
      </c>
      <c r="C41" s="373"/>
      <c r="D41" s="373"/>
      <c r="E41" s="373"/>
      <c r="F41" s="373"/>
      <c r="G41" s="373"/>
      <c r="H41" s="10">
        <v>1.4999999999999999E-2</v>
      </c>
      <c r="I41" s="5">
        <f t="shared" si="0"/>
        <v>19.349999999999998</v>
      </c>
      <c r="J41" s="48"/>
      <c r="K41" s="404"/>
    </row>
    <row r="42" spans="1:11" x14ac:dyDescent="0.2">
      <c r="A42" s="79" t="s">
        <v>27</v>
      </c>
      <c r="B42" s="373" t="s">
        <v>43</v>
      </c>
      <c r="C42" s="373"/>
      <c r="D42" s="373"/>
      <c r="E42" s="373"/>
      <c r="F42" s="373"/>
      <c r="G42" s="373"/>
      <c r="H42" s="10">
        <v>0.01</v>
      </c>
      <c r="I42" s="5">
        <f t="shared" si="0"/>
        <v>12.9</v>
      </c>
      <c r="J42" s="48"/>
      <c r="K42" s="404"/>
    </row>
    <row r="43" spans="1:11" x14ac:dyDescent="0.2">
      <c r="A43" s="79" t="s">
        <v>29</v>
      </c>
      <c r="B43" s="373" t="s">
        <v>44</v>
      </c>
      <c r="C43" s="373"/>
      <c r="D43" s="373"/>
      <c r="E43" s="373"/>
      <c r="F43" s="373"/>
      <c r="G43" s="373"/>
      <c r="H43" s="10">
        <v>6.0000000000000001E-3</v>
      </c>
      <c r="I43" s="5">
        <f t="shared" si="0"/>
        <v>7.74</v>
      </c>
      <c r="J43" s="48"/>
      <c r="K43" s="404"/>
    </row>
    <row r="44" spans="1:11" x14ac:dyDescent="0.2">
      <c r="A44" s="79" t="s">
        <v>31</v>
      </c>
      <c r="B44" s="373" t="s">
        <v>45</v>
      </c>
      <c r="C44" s="373"/>
      <c r="D44" s="373"/>
      <c r="E44" s="373"/>
      <c r="F44" s="373"/>
      <c r="G44" s="373"/>
      <c r="H44" s="10">
        <v>2E-3</v>
      </c>
      <c r="I44" s="5">
        <f t="shared" si="0"/>
        <v>2.58</v>
      </c>
      <c r="J44" s="48"/>
      <c r="K44" s="404"/>
    </row>
    <row r="45" spans="1:11" x14ac:dyDescent="0.2">
      <c r="A45" s="79" t="s">
        <v>46</v>
      </c>
      <c r="B45" s="373" t="s">
        <v>47</v>
      </c>
      <c r="C45" s="373"/>
      <c r="D45" s="373"/>
      <c r="E45" s="373"/>
      <c r="F45" s="373"/>
      <c r="G45" s="373"/>
      <c r="H45" s="10">
        <v>0.08</v>
      </c>
      <c r="I45" s="5">
        <f t="shared" si="0"/>
        <v>103.2</v>
      </c>
      <c r="J45" s="48"/>
      <c r="K45" s="404"/>
    </row>
    <row r="46" spans="1:11" x14ac:dyDescent="0.2">
      <c r="A46" s="389" t="s">
        <v>48</v>
      </c>
      <c r="B46" s="389"/>
      <c r="C46" s="389"/>
      <c r="D46" s="389"/>
      <c r="E46" s="389"/>
      <c r="F46" s="389"/>
      <c r="G46" s="389"/>
      <c r="H46" s="12">
        <f>SUM(H38:H45)</f>
        <v>0.35810000000000003</v>
      </c>
      <c r="I46" s="13">
        <f>(SUM(I38:I45))</f>
        <v>461.94899999999996</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79" t="s">
        <v>22</v>
      </c>
      <c r="J48" s="48"/>
    </row>
    <row r="49" spans="1:10" x14ac:dyDescent="0.2">
      <c r="A49" s="79" t="s">
        <v>1</v>
      </c>
      <c r="B49" s="393" t="s">
        <v>125</v>
      </c>
      <c r="C49" s="393"/>
      <c r="D49" s="393"/>
      <c r="E49" s="393"/>
      <c r="F49" s="393"/>
      <c r="G49" s="393"/>
      <c r="H49" s="55">
        <v>3.65</v>
      </c>
      <c r="I49" s="14">
        <f>(H49*2*22)-(I21*0.06)</f>
        <v>96.1</v>
      </c>
      <c r="J49" s="48"/>
    </row>
    <row r="50" spans="1:10" x14ac:dyDescent="0.2">
      <c r="A50" s="79" t="s">
        <v>3</v>
      </c>
      <c r="B50" s="393" t="s">
        <v>124</v>
      </c>
      <c r="C50" s="393"/>
      <c r="D50" s="393"/>
      <c r="E50" s="393"/>
      <c r="F50" s="393"/>
      <c r="G50" s="393"/>
      <c r="H50" s="55">
        <v>418</v>
      </c>
      <c r="I50" s="15">
        <f>H50*0.8</f>
        <v>334.40000000000003</v>
      </c>
      <c r="J50" s="49"/>
    </row>
    <row r="51" spans="1:10" x14ac:dyDescent="0.2">
      <c r="A51" s="79" t="s">
        <v>5</v>
      </c>
      <c r="B51" s="393" t="s">
        <v>126</v>
      </c>
      <c r="C51" s="393"/>
      <c r="D51" s="393"/>
      <c r="E51" s="393"/>
      <c r="F51" s="393"/>
      <c r="G51" s="393"/>
      <c r="H51" s="55">
        <v>0</v>
      </c>
      <c r="I51" s="14">
        <f>H51</f>
        <v>0</v>
      </c>
      <c r="J51" s="48"/>
    </row>
    <row r="52" spans="1:10" x14ac:dyDescent="0.2">
      <c r="A52" s="79" t="s">
        <v>7</v>
      </c>
      <c r="B52" s="397" t="s">
        <v>127</v>
      </c>
      <c r="C52" s="398"/>
      <c r="D52" s="398"/>
      <c r="E52" s="398"/>
      <c r="F52" s="398"/>
      <c r="G52" s="399"/>
      <c r="H52" s="55">
        <v>0</v>
      </c>
      <c r="I52" s="14">
        <f>H52</f>
        <v>0</v>
      </c>
      <c r="J52" s="48"/>
    </row>
    <row r="53" spans="1:10" x14ac:dyDescent="0.2">
      <c r="A53" s="79"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438.5</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79" t="s">
        <v>22</v>
      </c>
      <c r="J57" s="48"/>
    </row>
    <row r="58" spans="1:10" x14ac:dyDescent="0.2">
      <c r="A58" s="79" t="s">
        <v>54</v>
      </c>
      <c r="B58" s="370" t="s">
        <v>55</v>
      </c>
      <c r="C58" s="370"/>
      <c r="D58" s="370"/>
      <c r="E58" s="370"/>
      <c r="F58" s="370"/>
      <c r="G58" s="370"/>
      <c r="H58" s="370"/>
      <c r="I58" s="16">
        <f>I35</f>
        <v>194.64153390000001</v>
      </c>
      <c r="J58" s="48"/>
    </row>
    <row r="59" spans="1:10" x14ac:dyDescent="0.2">
      <c r="A59" s="79" t="s">
        <v>56</v>
      </c>
      <c r="B59" s="370" t="s">
        <v>57</v>
      </c>
      <c r="C59" s="370"/>
      <c r="D59" s="370"/>
      <c r="E59" s="370"/>
      <c r="F59" s="370"/>
      <c r="G59" s="370"/>
      <c r="H59" s="370"/>
      <c r="I59" s="16">
        <f>I46</f>
        <v>461.94899999999996</v>
      </c>
      <c r="J59" s="48"/>
    </row>
    <row r="60" spans="1:10" x14ac:dyDescent="0.2">
      <c r="A60" s="79" t="s">
        <v>58</v>
      </c>
      <c r="B60" s="370" t="s">
        <v>59</v>
      </c>
      <c r="C60" s="370"/>
      <c r="D60" s="370"/>
      <c r="E60" s="370"/>
      <c r="F60" s="370"/>
      <c r="G60" s="370"/>
      <c r="H60" s="370"/>
      <c r="I60" s="16">
        <f>I54</f>
        <v>438.5</v>
      </c>
      <c r="J60" s="48"/>
    </row>
    <row r="61" spans="1:10" x14ac:dyDescent="0.2">
      <c r="A61" s="389" t="s">
        <v>60</v>
      </c>
      <c r="B61" s="389"/>
      <c r="C61" s="389"/>
      <c r="D61" s="389"/>
      <c r="E61" s="389"/>
      <c r="F61" s="389"/>
      <c r="G61" s="389"/>
      <c r="H61" s="389"/>
      <c r="I61" s="13">
        <f>(SUM(I58:I60))</f>
        <v>1095.0905339000001</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79">
        <v>3</v>
      </c>
      <c r="B64" s="389" t="s">
        <v>62</v>
      </c>
      <c r="C64" s="389"/>
      <c r="D64" s="389"/>
      <c r="E64" s="389"/>
      <c r="F64" s="389"/>
      <c r="G64" s="389"/>
      <c r="H64" s="79" t="s">
        <v>21</v>
      </c>
      <c r="I64" s="79" t="s">
        <v>22</v>
      </c>
      <c r="J64" s="48"/>
    </row>
    <row r="65" spans="1:11" x14ac:dyDescent="0.2">
      <c r="A65" s="79" t="s">
        <v>1</v>
      </c>
      <c r="B65" s="373" t="s">
        <v>63</v>
      </c>
      <c r="C65" s="373"/>
      <c r="D65" s="373"/>
      <c r="E65" s="373"/>
      <c r="F65" s="373"/>
      <c r="G65" s="373"/>
      <c r="H65" s="17">
        <v>4.1999999999999997E-3</v>
      </c>
      <c r="I65" s="16">
        <f>$I$28*H65</f>
        <v>5.4179999999999993</v>
      </c>
      <c r="J65" s="48"/>
    </row>
    <row r="66" spans="1:11" x14ac:dyDescent="0.2">
      <c r="A66" s="79" t="s">
        <v>3</v>
      </c>
      <c r="B66" s="373" t="s">
        <v>64</v>
      </c>
      <c r="C66" s="373"/>
      <c r="D66" s="373"/>
      <c r="E66" s="373"/>
      <c r="F66" s="373"/>
      <c r="G66" s="373"/>
      <c r="H66" s="17">
        <f>H45*H65</f>
        <v>3.3599999999999998E-4</v>
      </c>
      <c r="I66" s="5">
        <f>H66*I28</f>
        <v>0.43343999999999999</v>
      </c>
      <c r="J66" s="48"/>
    </row>
    <row r="67" spans="1:11" x14ac:dyDescent="0.2">
      <c r="A67" s="79" t="s">
        <v>5</v>
      </c>
      <c r="B67" s="373" t="s">
        <v>65</v>
      </c>
      <c r="C67" s="373"/>
      <c r="D67" s="373"/>
      <c r="E67" s="373"/>
      <c r="F67" s="373"/>
      <c r="G67" s="373"/>
      <c r="H67" s="18">
        <v>0.01</v>
      </c>
      <c r="I67" s="5">
        <f>$I$28*H67</f>
        <v>12.9</v>
      </c>
      <c r="J67" s="48"/>
    </row>
    <row r="68" spans="1:11" x14ac:dyDescent="0.2">
      <c r="A68" s="79" t="s">
        <v>7</v>
      </c>
      <c r="B68" s="373" t="s">
        <v>66</v>
      </c>
      <c r="C68" s="373"/>
      <c r="D68" s="373"/>
      <c r="E68" s="373"/>
      <c r="F68" s="373"/>
      <c r="G68" s="373"/>
      <c r="H68" s="46">
        <v>1.9400000000000001E-2</v>
      </c>
      <c r="I68" s="5">
        <f>$I$28*H68</f>
        <v>25.026</v>
      </c>
      <c r="J68" s="48"/>
    </row>
    <row r="69" spans="1:11" x14ac:dyDescent="0.2">
      <c r="A69" s="79" t="s">
        <v>27</v>
      </c>
      <c r="B69" s="373" t="s">
        <v>67</v>
      </c>
      <c r="C69" s="373"/>
      <c r="D69" s="373"/>
      <c r="E69" s="373"/>
      <c r="F69" s="373"/>
      <c r="G69" s="373"/>
      <c r="H69" s="19">
        <f>H46*H68</f>
        <v>6.947140000000001E-3</v>
      </c>
      <c r="I69" s="5">
        <f>$I$28*H69</f>
        <v>8.9618106000000015</v>
      </c>
      <c r="J69" s="48"/>
    </row>
    <row r="70" spans="1:11" x14ac:dyDescent="0.2">
      <c r="A70" s="79" t="s">
        <v>29</v>
      </c>
      <c r="B70" s="373" t="s">
        <v>68</v>
      </c>
      <c r="C70" s="373"/>
      <c r="D70" s="373"/>
      <c r="E70" s="373"/>
      <c r="F70" s="373"/>
      <c r="G70" s="373"/>
      <c r="H70" s="54">
        <v>2.1999999999999999E-2</v>
      </c>
      <c r="I70" s="5">
        <f>$I$28*H70</f>
        <v>28.38</v>
      </c>
      <c r="J70" s="48"/>
      <c r="K70" s="20"/>
    </row>
    <row r="71" spans="1:11" x14ac:dyDescent="0.2">
      <c r="A71" s="389" t="s">
        <v>69</v>
      </c>
      <c r="B71" s="389"/>
      <c r="C71" s="389"/>
      <c r="D71" s="389"/>
      <c r="E71" s="389"/>
      <c r="F71" s="389"/>
      <c r="G71" s="389"/>
      <c r="H71" s="12">
        <f>TRUNC(SUM(H65:H70),4)</f>
        <v>6.2799999999999995E-2</v>
      </c>
      <c r="I71" s="13">
        <f>(SUM(I65:I70))</f>
        <v>81.119250600000001</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79" t="s">
        <v>21</v>
      </c>
      <c r="I74" s="79" t="s">
        <v>22</v>
      </c>
      <c r="J74" s="48"/>
    </row>
    <row r="75" spans="1:11" x14ac:dyDescent="0.2">
      <c r="A75" s="79" t="s">
        <v>1</v>
      </c>
      <c r="B75" s="373" t="s">
        <v>186</v>
      </c>
      <c r="C75" s="373"/>
      <c r="D75" s="373"/>
      <c r="E75" s="373"/>
      <c r="F75" s="373"/>
      <c r="G75" s="373"/>
      <c r="H75" s="148">
        <v>8.3299999999999999E-2</v>
      </c>
      <c r="I75" s="5">
        <f t="shared" ref="I75:I80" si="1">$I$28*H75</f>
        <v>107.45699999999999</v>
      </c>
      <c r="J75" s="48"/>
    </row>
    <row r="76" spans="1:11" x14ac:dyDescent="0.2">
      <c r="A76" s="79" t="s">
        <v>3</v>
      </c>
      <c r="B76" s="373" t="s">
        <v>187</v>
      </c>
      <c r="C76" s="373"/>
      <c r="D76" s="373"/>
      <c r="E76" s="373"/>
      <c r="F76" s="373"/>
      <c r="G76" s="373"/>
      <c r="H76" s="148">
        <v>2.8E-3</v>
      </c>
      <c r="I76" s="16">
        <f t="shared" si="1"/>
        <v>3.6120000000000001</v>
      </c>
      <c r="J76" s="48"/>
    </row>
    <row r="77" spans="1:11" x14ac:dyDescent="0.2">
      <c r="A77" s="79" t="s">
        <v>5</v>
      </c>
      <c r="B77" s="373" t="s">
        <v>188</v>
      </c>
      <c r="C77" s="373"/>
      <c r="D77" s="373"/>
      <c r="E77" s="373"/>
      <c r="F77" s="373"/>
      <c r="G77" s="373"/>
      <c r="H77" s="17">
        <v>2.0000000000000001E-4</v>
      </c>
      <c r="I77" s="16">
        <f t="shared" si="1"/>
        <v>0.25800000000000001</v>
      </c>
      <c r="J77" s="48"/>
    </row>
    <row r="78" spans="1:11" x14ac:dyDescent="0.2">
      <c r="A78" s="79" t="s">
        <v>7</v>
      </c>
      <c r="B78" s="373" t="s">
        <v>189</v>
      </c>
      <c r="C78" s="373"/>
      <c r="D78" s="373"/>
      <c r="E78" s="373"/>
      <c r="F78" s="373"/>
      <c r="G78" s="373"/>
      <c r="H78" s="148">
        <v>2.9999999999999997E-4</v>
      </c>
      <c r="I78" s="16">
        <f t="shared" si="1"/>
        <v>0.38699999999999996</v>
      </c>
      <c r="J78" s="48"/>
    </row>
    <row r="79" spans="1:11" x14ac:dyDescent="0.2">
      <c r="A79" s="79" t="s">
        <v>27</v>
      </c>
      <c r="B79" s="373" t="s">
        <v>190</v>
      </c>
      <c r="C79" s="373"/>
      <c r="D79" s="373"/>
      <c r="E79" s="373"/>
      <c r="F79" s="373"/>
      <c r="G79" s="373"/>
      <c r="H79" s="17">
        <v>6.9999999999999999E-4</v>
      </c>
      <c r="I79" s="16">
        <f t="shared" si="1"/>
        <v>0.90300000000000002</v>
      </c>
      <c r="J79" s="48"/>
    </row>
    <row r="80" spans="1:11" x14ac:dyDescent="0.2">
      <c r="A80" s="79"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112.61699999999999</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79" t="s">
        <v>21</v>
      </c>
      <c r="I83" s="79" t="s">
        <v>22</v>
      </c>
      <c r="J83" s="48"/>
    </row>
    <row r="84" spans="1:10" x14ac:dyDescent="0.2">
      <c r="A84" s="79"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79" t="s">
        <v>22</v>
      </c>
      <c r="J88" s="48"/>
    </row>
    <row r="89" spans="1:10" x14ac:dyDescent="0.2">
      <c r="A89" s="79" t="s">
        <v>77</v>
      </c>
      <c r="B89" s="370" t="s">
        <v>193</v>
      </c>
      <c r="C89" s="370"/>
      <c r="D89" s="370"/>
      <c r="E89" s="370"/>
      <c r="F89" s="370"/>
      <c r="G89" s="370"/>
      <c r="H89" s="370"/>
      <c r="I89" s="16">
        <f>I81</f>
        <v>112.61699999999999</v>
      </c>
      <c r="J89" s="48"/>
    </row>
    <row r="90" spans="1:10" x14ac:dyDescent="0.2">
      <c r="A90" s="79" t="s">
        <v>78</v>
      </c>
      <c r="B90" s="370" t="s">
        <v>194</v>
      </c>
      <c r="C90" s="370"/>
      <c r="D90" s="370"/>
      <c r="E90" s="370"/>
      <c r="F90" s="370"/>
      <c r="G90" s="370"/>
      <c r="H90" s="370"/>
      <c r="I90" s="16">
        <f>I85</f>
        <v>0</v>
      </c>
      <c r="J90" s="48"/>
    </row>
    <row r="91" spans="1:10" x14ac:dyDescent="0.2">
      <c r="A91" s="125" t="s">
        <v>46</v>
      </c>
      <c r="B91" s="370" t="s">
        <v>195</v>
      </c>
      <c r="C91" s="370"/>
      <c r="D91" s="370"/>
      <c r="E91" s="370"/>
      <c r="F91" s="370"/>
      <c r="G91" s="370"/>
      <c r="H91" s="370"/>
      <c r="I91" s="16">
        <f>(H81*H46)*I89</f>
        <v>3.5206472942100002</v>
      </c>
      <c r="J91" s="48"/>
    </row>
    <row r="92" spans="1:10" x14ac:dyDescent="0.2">
      <c r="A92" s="389" t="s">
        <v>79</v>
      </c>
      <c r="B92" s="389"/>
      <c r="C92" s="389"/>
      <c r="D92" s="389"/>
      <c r="E92" s="389"/>
      <c r="F92" s="389"/>
      <c r="G92" s="389"/>
      <c r="H92" s="389"/>
      <c r="I92" s="13">
        <f>(SUM(I89:I90))</f>
        <v>112.61699999999999</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79">
        <v>5</v>
      </c>
      <c r="B95" s="389" t="s">
        <v>81</v>
      </c>
      <c r="C95" s="389"/>
      <c r="D95" s="389"/>
      <c r="E95" s="389"/>
      <c r="F95" s="389"/>
      <c r="G95" s="389"/>
      <c r="H95" s="79"/>
      <c r="I95" s="79" t="s">
        <v>22</v>
      </c>
      <c r="J95" s="48"/>
    </row>
    <row r="96" spans="1:10" x14ac:dyDescent="0.2">
      <c r="A96" s="79" t="s">
        <v>1</v>
      </c>
      <c r="B96" s="393" t="s">
        <v>82</v>
      </c>
      <c r="C96" s="393"/>
      <c r="D96" s="393"/>
      <c r="E96" s="393"/>
      <c r="F96" s="393"/>
      <c r="G96" s="393"/>
      <c r="H96" s="78" t="s">
        <v>50</v>
      </c>
      <c r="I96" s="66">
        <f>UNIFORME!F10</f>
        <v>28.666666666666668</v>
      </c>
      <c r="J96" s="48"/>
    </row>
    <row r="97" spans="1:13" x14ac:dyDescent="0.2">
      <c r="A97" s="79" t="s">
        <v>3</v>
      </c>
      <c r="B97" s="393" t="s">
        <v>83</v>
      </c>
      <c r="C97" s="393"/>
      <c r="D97" s="393"/>
      <c r="E97" s="393"/>
      <c r="F97" s="393"/>
      <c r="G97" s="393"/>
      <c r="H97" s="78" t="s">
        <v>50</v>
      </c>
      <c r="I97" s="16">
        <v>1000</v>
      </c>
      <c r="J97" s="48"/>
    </row>
    <row r="98" spans="1:13" x14ac:dyDescent="0.2">
      <c r="A98" s="21" t="s">
        <v>5</v>
      </c>
      <c r="B98" s="393" t="s">
        <v>84</v>
      </c>
      <c r="C98" s="393"/>
      <c r="D98" s="393"/>
      <c r="E98" s="393"/>
      <c r="F98" s="393"/>
      <c r="G98" s="393"/>
      <c r="H98" s="78" t="s">
        <v>50</v>
      </c>
      <c r="I98" s="16">
        <v>500</v>
      </c>
      <c r="J98" s="48"/>
    </row>
    <row r="99" spans="1:13" x14ac:dyDescent="0.2">
      <c r="A99" s="21" t="s">
        <v>7</v>
      </c>
      <c r="B99" s="393" t="s">
        <v>128</v>
      </c>
      <c r="C99" s="393"/>
      <c r="D99" s="393"/>
      <c r="E99" s="393"/>
      <c r="F99" s="393"/>
      <c r="G99" s="393"/>
      <c r="H99" s="78" t="s">
        <v>50</v>
      </c>
      <c r="I99" s="16">
        <f>'ASG INT CAPI'!I99</f>
        <v>20.76595744680851</v>
      </c>
      <c r="J99" s="48"/>
    </row>
    <row r="100" spans="1:13" x14ac:dyDescent="0.2">
      <c r="A100" s="389" t="s">
        <v>85</v>
      </c>
      <c r="B100" s="389"/>
      <c r="C100" s="389"/>
      <c r="D100" s="389"/>
      <c r="E100" s="389"/>
      <c r="F100" s="389"/>
      <c r="G100" s="389"/>
      <c r="H100" s="12" t="s">
        <v>50</v>
      </c>
      <c r="I100" s="13">
        <f>(SUM(I96:I99))</f>
        <v>1549.4326241134752</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79">
        <v>6</v>
      </c>
      <c r="B103" s="389" t="s">
        <v>87</v>
      </c>
      <c r="C103" s="389"/>
      <c r="D103" s="389"/>
      <c r="E103" s="389"/>
      <c r="F103" s="389"/>
      <c r="G103" s="389"/>
      <c r="H103" s="79" t="s">
        <v>21</v>
      </c>
      <c r="I103" s="79" t="s">
        <v>22</v>
      </c>
      <c r="J103" s="48"/>
      <c r="K103" s="52">
        <f>'ANEXO VII'!M57</f>
        <v>197.15170301310718</v>
      </c>
    </row>
    <row r="104" spans="1:13" x14ac:dyDescent="0.2">
      <c r="A104" s="79" t="s">
        <v>1</v>
      </c>
      <c r="B104" s="373" t="s">
        <v>88</v>
      </c>
      <c r="C104" s="373"/>
      <c r="D104" s="373"/>
      <c r="E104" s="373"/>
      <c r="F104" s="373"/>
      <c r="G104" s="373"/>
      <c r="H104" s="22">
        <v>0.1</v>
      </c>
      <c r="I104" s="16">
        <f>I120*H104</f>
        <v>412.82594086134759</v>
      </c>
      <c r="J104" s="48"/>
      <c r="M104" s="52"/>
    </row>
    <row r="105" spans="1:13" x14ac:dyDescent="0.2">
      <c r="A105" s="79" t="s">
        <v>3</v>
      </c>
      <c r="B105" s="373" t="s">
        <v>89</v>
      </c>
      <c r="C105" s="373"/>
      <c r="D105" s="373"/>
      <c r="E105" s="373"/>
      <c r="F105" s="373"/>
      <c r="G105" s="373"/>
      <c r="H105" s="22">
        <v>0.1</v>
      </c>
      <c r="I105" s="16">
        <f>(I120+I104)*H105</f>
        <v>454.10853494748238</v>
      </c>
      <c r="J105" s="48"/>
    </row>
    <row r="106" spans="1:13" x14ac:dyDescent="0.2">
      <c r="A106" s="79" t="s">
        <v>5</v>
      </c>
      <c r="B106" s="392" t="s">
        <v>90</v>
      </c>
      <c r="C106" s="392"/>
      <c r="D106" s="392"/>
      <c r="E106" s="392"/>
      <c r="F106" s="392"/>
      <c r="G106" s="392"/>
      <c r="H106" s="23">
        <f>H107+H108+H109</f>
        <v>8.6499999999999994E-2</v>
      </c>
      <c r="I106" s="24"/>
      <c r="J106" s="48"/>
    </row>
    <row r="107" spans="1:13" x14ac:dyDescent="0.2">
      <c r="A107" s="79" t="s">
        <v>91</v>
      </c>
      <c r="B107" s="373" t="s">
        <v>92</v>
      </c>
      <c r="C107" s="373"/>
      <c r="D107" s="373"/>
      <c r="E107" s="373"/>
      <c r="F107" s="373"/>
      <c r="G107" s="373"/>
      <c r="H107" s="25">
        <v>6.4999999999999997E-3</v>
      </c>
      <c r="I107" s="16">
        <f>K110*H107</f>
        <v>35.543251503825935</v>
      </c>
      <c r="J107" s="48"/>
      <c r="K107" s="65">
        <f>1-H106</f>
        <v>0.91349999999999998</v>
      </c>
    </row>
    <row r="108" spans="1:13" x14ac:dyDescent="0.2">
      <c r="A108" s="79" t="s">
        <v>93</v>
      </c>
      <c r="B108" s="373" t="s">
        <v>94</v>
      </c>
      <c r="C108" s="373"/>
      <c r="D108" s="373"/>
      <c r="E108" s="373"/>
      <c r="F108" s="373"/>
      <c r="G108" s="373"/>
      <c r="H108" s="25">
        <v>0.03</v>
      </c>
      <c r="I108" s="16">
        <f>K110*H108</f>
        <v>164.04577617150431</v>
      </c>
      <c r="J108" s="48"/>
      <c r="K108" s="45">
        <f>K107/1</f>
        <v>0.91349999999999998</v>
      </c>
    </row>
    <row r="109" spans="1:13" x14ac:dyDescent="0.2">
      <c r="A109" s="79" t="s">
        <v>95</v>
      </c>
      <c r="B109" s="373" t="s">
        <v>96</v>
      </c>
      <c r="C109" s="373"/>
      <c r="D109" s="373"/>
      <c r="E109" s="373"/>
      <c r="F109" s="373"/>
      <c r="G109" s="373"/>
      <c r="H109" s="26">
        <v>0.05</v>
      </c>
      <c r="I109" s="16">
        <f>K110*H109</f>
        <v>273.40962695250721</v>
      </c>
      <c r="J109" s="48"/>
      <c r="K109" s="20">
        <f>I120+I104+I105</f>
        <v>4995.1938844223059</v>
      </c>
    </row>
    <row r="110" spans="1:13" x14ac:dyDescent="0.2">
      <c r="A110" s="389" t="s">
        <v>97</v>
      </c>
      <c r="B110" s="389"/>
      <c r="C110" s="389"/>
      <c r="D110" s="389"/>
      <c r="E110" s="389"/>
      <c r="F110" s="389"/>
      <c r="G110" s="389"/>
      <c r="H110" s="25">
        <f>SUM(H104+H105+H106)</f>
        <v>0.28649999999999998</v>
      </c>
      <c r="I110" s="13">
        <f>(SUM(I104:I109))</f>
        <v>1339.9331304366674</v>
      </c>
      <c r="J110" s="48"/>
      <c r="K110" s="20">
        <f>K109/K108</f>
        <v>5468.1925390501438</v>
      </c>
    </row>
    <row r="111" spans="1:13" x14ac:dyDescent="0.2">
      <c r="A111" s="81"/>
      <c r="B111" s="390"/>
      <c r="C111" s="390"/>
      <c r="D111" s="390"/>
      <c r="E111" s="390"/>
      <c r="F111" s="390"/>
      <c r="G111" s="390"/>
      <c r="H111" s="390"/>
      <c r="I111" s="390"/>
    </row>
    <row r="112" spans="1:13" x14ac:dyDescent="0.2">
      <c r="A112" s="81"/>
      <c r="B112" s="81"/>
      <c r="C112" s="81"/>
      <c r="D112" s="81"/>
      <c r="E112" s="81"/>
      <c r="F112" s="81"/>
      <c r="G112" s="81"/>
      <c r="H112" s="81"/>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79" t="s">
        <v>22</v>
      </c>
    </row>
    <row r="115" spans="1:12" x14ac:dyDescent="0.2">
      <c r="A115" s="78" t="s">
        <v>1</v>
      </c>
      <c r="B115" s="373" t="str">
        <f>A19</f>
        <v>MÓDULO 1 - COMPOSIÇÃO DA REMUNERAÇÃO</v>
      </c>
      <c r="C115" s="373"/>
      <c r="D115" s="373"/>
      <c r="E115" s="373"/>
      <c r="F115" s="373"/>
      <c r="G115" s="373"/>
      <c r="H115" s="373"/>
      <c r="I115" s="16">
        <f>I28</f>
        <v>1290</v>
      </c>
      <c r="K115" s="20"/>
      <c r="L115" s="53"/>
    </row>
    <row r="116" spans="1:12" x14ac:dyDescent="0.2">
      <c r="A116" s="78" t="s">
        <v>3</v>
      </c>
      <c r="B116" s="373" t="str">
        <f>A30</f>
        <v>MÓDULO 2 – ENCARGOS E BENEFÍCIOS ANUAIS, MENSAIS E DIÁRIOS</v>
      </c>
      <c r="C116" s="373"/>
      <c r="D116" s="373"/>
      <c r="E116" s="373"/>
      <c r="F116" s="373"/>
      <c r="G116" s="373"/>
      <c r="H116" s="373"/>
      <c r="I116" s="16">
        <f>I61</f>
        <v>1095.0905339000001</v>
      </c>
    </row>
    <row r="117" spans="1:12" x14ac:dyDescent="0.2">
      <c r="A117" s="78" t="s">
        <v>5</v>
      </c>
      <c r="B117" s="373" t="str">
        <f>A63</f>
        <v>MÓDULO 3 – PROVISÃO PARA RESCISÃO</v>
      </c>
      <c r="C117" s="373"/>
      <c r="D117" s="373"/>
      <c r="E117" s="373"/>
      <c r="F117" s="373"/>
      <c r="G117" s="373"/>
      <c r="H117" s="373"/>
      <c r="I117" s="16">
        <f>I71</f>
        <v>81.119250600000001</v>
      </c>
    </row>
    <row r="118" spans="1:12" x14ac:dyDescent="0.2">
      <c r="A118" s="78" t="s">
        <v>7</v>
      </c>
      <c r="B118" s="373" t="str">
        <f>A73</f>
        <v>MÓDULO 4 – CUSTO DE REPOSIÇÃO DO PROFISSIONAL AUSENTE</v>
      </c>
      <c r="C118" s="373"/>
      <c r="D118" s="373"/>
      <c r="E118" s="373"/>
      <c r="F118" s="373"/>
      <c r="G118" s="373"/>
      <c r="H118" s="373"/>
      <c r="I118" s="16">
        <f>I92</f>
        <v>112.61699999999999</v>
      </c>
    </row>
    <row r="119" spans="1:12" x14ac:dyDescent="0.2">
      <c r="A119" s="78" t="s">
        <v>27</v>
      </c>
      <c r="B119" s="373" t="str">
        <f>A94</f>
        <v>MÓDULO 5 – INSUMOS DIVERSOS</v>
      </c>
      <c r="C119" s="373"/>
      <c r="D119" s="373"/>
      <c r="E119" s="373"/>
      <c r="F119" s="373"/>
      <c r="G119" s="373"/>
      <c r="H119" s="373"/>
      <c r="I119" s="16">
        <f>I100</f>
        <v>1549.4326241134752</v>
      </c>
    </row>
    <row r="120" spans="1:12" x14ac:dyDescent="0.2">
      <c r="A120" s="79"/>
      <c r="B120" s="389" t="s">
        <v>100</v>
      </c>
      <c r="C120" s="389"/>
      <c r="D120" s="389"/>
      <c r="E120" s="389"/>
      <c r="F120" s="389"/>
      <c r="G120" s="389"/>
      <c r="H120" s="389"/>
      <c r="I120" s="13">
        <f>(SUM(I115:I119))</f>
        <v>4128.2594086134759</v>
      </c>
    </row>
    <row r="121" spans="1:12" x14ac:dyDescent="0.2">
      <c r="A121" s="78" t="s">
        <v>29</v>
      </c>
      <c r="B121" s="373" t="str">
        <f>A102</f>
        <v>MÓDULO 6 – CUSTOS INDIRETOS, TRIBUTOS E LUCRO</v>
      </c>
      <c r="C121" s="373"/>
      <c r="D121" s="373"/>
      <c r="E121" s="373"/>
      <c r="F121" s="373"/>
      <c r="G121" s="373"/>
      <c r="H121" s="373"/>
      <c r="I121" s="5">
        <f>I110</f>
        <v>1339.9331304366674</v>
      </c>
    </row>
    <row r="122" spans="1:12" x14ac:dyDescent="0.2">
      <c r="A122" s="389" t="s">
        <v>101</v>
      </c>
      <c r="B122" s="389"/>
      <c r="C122" s="389"/>
      <c r="D122" s="389"/>
      <c r="E122" s="389"/>
      <c r="F122" s="389"/>
      <c r="G122" s="389"/>
      <c r="H122" s="389"/>
      <c r="I122" s="13">
        <f>(SUM(I120:I121))</f>
        <v>5468.1925390501438</v>
      </c>
      <c r="K122" s="51"/>
    </row>
    <row r="123" spans="1:12" x14ac:dyDescent="0.2">
      <c r="I123" s="20">
        <f>I122/300/30*4</f>
        <v>2.4303077951333969</v>
      </c>
      <c r="K123" s="51"/>
    </row>
    <row r="124" spans="1:12" hidden="1" x14ac:dyDescent="0.2">
      <c r="A124" s="81"/>
      <c r="B124" s="379" t="s">
        <v>102</v>
      </c>
      <c r="C124" s="379"/>
      <c r="D124" s="379"/>
      <c r="E124" s="379"/>
      <c r="F124" s="379"/>
      <c r="G124" s="379"/>
      <c r="H124" s="8"/>
      <c r="I124" s="8"/>
      <c r="K124" s="51"/>
    </row>
    <row r="125" spans="1:12" ht="40.5" hidden="1" customHeight="1" x14ac:dyDescent="0.2">
      <c r="A125" s="385" t="s">
        <v>103</v>
      </c>
      <c r="B125" s="385"/>
      <c r="C125" s="385" t="s">
        <v>104</v>
      </c>
      <c r="D125" s="385"/>
      <c r="E125" s="385" t="s">
        <v>105</v>
      </c>
      <c r="F125" s="385"/>
      <c r="G125" s="28" t="s">
        <v>106</v>
      </c>
      <c r="H125" s="82" t="s">
        <v>107</v>
      </c>
      <c r="I125" s="84"/>
      <c r="K125" s="51"/>
    </row>
    <row r="126" spans="1:12" hidden="1" x14ac:dyDescent="0.2">
      <c r="A126" s="386" t="s">
        <v>108</v>
      </c>
      <c r="B126" s="386"/>
      <c r="C126" s="387" t="s">
        <v>109</v>
      </c>
      <c r="D126" s="387"/>
      <c r="E126" s="388"/>
      <c r="F126" s="388"/>
      <c r="G126" s="29" t="s">
        <v>109</v>
      </c>
      <c r="H126" s="30"/>
      <c r="I126" s="31"/>
      <c r="K126" s="51"/>
    </row>
    <row r="127" spans="1:12" hidden="1" x14ac:dyDescent="0.2">
      <c r="A127" s="381" t="s">
        <v>110</v>
      </c>
      <c r="B127" s="381"/>
      <c r="C127" s="382" t="s">
        <v>109</v>
      </c>
      <c r="D127" s="382"/>
      <c r="E127" s="383"/>
      <c r="F127" s="383"/>
      <c r="G127" s="32" t="s">
        <v>109</v>
      </c>
      <c r="H127" s="33"/>
      <c r="I127" s="34"/>
      <c r="K127" s="51"/>
    </row>
    <row r="128" spans="1:12" hidden="1" x14ac:dyDescent="0.2">
      <c r="A128" s="381" t="s">
        <v>111</v>
      </c>
      <c r="B128" s="381"/>
      <c r="C128" s="382" t="s">
        <v>109</v>
      </c>
      <c r="D128" s="382"/>
      <c r="E128" s="383"/>
      <c r="F128" s="383"/>
      <c r="G128" s="32" t="s">
        <v>109</v>
      </c>
      <c r="H128" s="33"/>
      <c r="I128" s="34"/>
      <c r="K128" s="51"/>
    </row>
    <row r="129" spans="1:11" hidden="1" x14ac:dyDescent="0.2">
      <c r="A129" s="381" t="s">
        <v>112</v>
      </c>
      <c r="B129" s="381"/>
      <c r="C129" s="382" t="s">
        <v>109</v>
      </c>
      <c r="D129" s="382"/>
      <c r="E129" s="383"/>
      <c r="F129" s="383"/>
      <c r="G129" s="32" t="s">
        <v>109</v>
      </c>
      <c r="H129" s="33"/>
      <c r="I129" s="34"/>
      <c r="K129" s="51"/>
    </row>
    <row r="130" spans="1:11" hidden="1" x14ac:dyDescent="0.2">
      <c r="A130" s="384"/>
      <c r="B130" s="384"/>
      <c r="C130" s="383"/>
      <c r="D130" s="383"/>
      <c r="E130" s="383"/>
      <c r="F130" s="383"/>
      <c r="G130" s="35"/>
      <c r="H130" s="36"/>
      <c r="I130" s="34"/>
      <c r="K130" s="51"/>
    </row>
    <row r="131" spans="1:11" ht="13.5" hidden="1" thickBot="1" x14ac:dyDescent="0.25">
      <c r="A131" s="376"/>
      <c r="B131" s="376"/>
      <c r="C131" s="377"/>
      <c r="D131" s="377"/>
      <c r="E131" s="377"/>
      <c r="F131" s="377"/>
      <c r="G131" s="37"/>
      <c r="H131" s="38"/>
      <c r="I131" s="39"/>
      <c r="K131" s="51"/>
    </row>
    <row r="132" spans="1:11" ht="13.5" hidden="1" thickBot="1" x14ac:dyDescent="0.25">
      <c r="A132" s="378" t="s">
        <v>113</v>
      </c>
      <c r="B132" s="378"/>
      <c r="C132" s="378"/>
      <c r="D132" s="378"/>
      <c r="E132" s="378"/>
      <c r="F132" s="378"/>
      <c r="G132" s="378"/>
      <c r="H132" s="378"/>
      <c r="I132" s="40"/>
      <c r="K132" s="51"/>
    </row>
    <row r="133" spans="1:11" x14ac:dyDescent="0.2">
      <c r="I133" s="20">
        <f>I123*2140</f>
        <v>5200.8586815854696</v>
      </c>
    </row>
    <row r="134" spans="1:11" hidden="1" x14ac:dyDescent="0.2">
      <c r="A134" s="81"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83"/>
      <c r="B136" s="371" t="s">
        <v>117</v>
      </c>
      <c r="C136" s="371"/>
      <c r="D136" s="371"/>
      <c r="E136" s="371"/>
      <c r="F136" s="371"/>
      <c r="G136" s="371"/>
      <c r="H136" s="371"/>
      <c r="I136" s="84" t="s">
        <v>22</v>
      </c>
    </row>
    <row r="137" spans="1:11" hidden="1" x14ac:dyDescent="0.2">
      <c r="A137" s="41" t="s">
        <v>1</v>
      </c>
      <c r="B137" s="372" t="s">
        <v>118</v>
      </c>
      <c r="C137" s="372"/>
      <c r="D137" s="372"/>
      <c r="E137" s="372"/>
      <c r="F137" s="372"/>
      <c r="G137" s="372"/>
      <c r="H137" s="372"/>
      <c r="I137" s="42">
        <f>I107</f>
        <v>35.543251503825935</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1339.9331304366674</v>
      </c>
    </row>
    <row r="140" spans="1:11" ht="13.5" hidden="1" thickBot="1" x14ac:dyDescent="0.25">
      <c r="A140" s="375" t="s">
        <v>121</v>
      </c>
      <c r="B140" s="375"/>
      <c r="C140" s="375"/>
      <c r="D140" s="375"/>
      <c r="E140" s="375"/>
      <c r="F140" s="375"/>
      <c r="G140" s="375"/>
      <c r="H140" s="375"/>
      <c r="I140" s="40" t="e">
        <f>SUM(I137:I139)</f>
        <v>#REF!</v>
      </c>
    </row>
    <row r="141" spans="1:11" hidden="1" x14ac:dyDescent="0.2">
      <c r="A141" s="81" t="s">
        <v>122</v>
      </c>
      <c r="B141" s="45" t="s">
        <v>123</v>
      </c>
    </row>
    <row r="143" spans="1:11" ht="13.5" hidden="1" thickBot="1" x14ac:dyDescent="0.25">
      <c r="A143" s="432" t="s">
        <v>172</v>
      </c>
      <c r="B143" s="432"/>
      <c r="C143" s="432"/>
      <c r="D143" s="432"/>
      <c r="E143" s="432"/>
      <c r="F143" s="432"/>
      <c r="G143" s="432"/>
      <c r="J143" s="45"/>
    </row>
    <row r="144" spans="1:11" ht="63.75" hidden="1" x14ac:dyDescent="0.2">
      <c r="A144" s="104" t="s">
        <v>173</v>
      </c>
      <c r="B144" s="105" t="s">
        <v>174</v>
      </c>
      <c r="C144" s="106" t="s">
        <v>175</v>
      </c>
      <c r="D144" s="105" t="s">
        <v>176</v>
      </c>
      <c r="E144" s="105" t="s">
        <v>177</v>
      </c>
      <c r="F144" s="107" t="s">
        <v>178</v>
      </c>
      <c r="G144" s="107" t="s">
        <v>179</v>
      </c>
      <c r="J144" s="45"/>
    </row>
    <row r="145" spans="1:10" ht="15" hidden="1" x14ac:dyDescent="0.25">
      <c r="A145" s="108"/>
      <c r="B145" s="109"/>
      <c r="C145" s="110"/>
      <c r="D145" s="110"/>
      <c r="E145" s="110"/>
      <c r="F145" s="111"/>
      <c r="G145" s="112"/>
      <c r="J145" s="45"/>
    </row>
    <row r="146" spans="1:10" ht="14.25" hidden="1" x14ac:dyDescent="0.2">
      <c r="A146" s="113" t="s">
        <v>180</v>
      </c>
      <c r="B146" s="114">
        <f>2/(34*300)</f>
        <v>1.9607843137254901E-4</v>
      </c>
      <c r="C146" s="110">
        <v>2.6665999999999999</v>
      </c>
      <c r="D146" s="114">
        <f>1/188.86</f>
        <v>5.2949274594938046E-3</v>
      </c>
      <c r="E146" s="114">
        <f>B146*C146*D146</f>
        <v>2.7685203065659171E-6</v>
      </c>
      <c r="F146" s="115">
        <v>0</v>
      </c>
      <c r="G146" s="116">
        <f>E146*F146</f>
        <v>0</v>
      </c>
      <c r="J146" s="45"/>
    </row>
    <row r="147" spans="1:10" ht="15" hidden="1" thickBot="1" x14ac:dyDescent="0.25">
      <c r="A147" s="117" t="s">
        <v>140</v>
      </c>
      <c r="B147" s="118">
        <f>1/300</f>
        <v>3.3333333333333335E-3</v>
      </c>
      <c r="C147" s="110">
        <f>(8*4)/12</f>
        <v>2.6666666666666665</v>
      </c>
      <c r="D147" s="118">
        <f>1/188.86</f>
        <v>5.2949274594938046E-3</v>
      </c>
      <c r="E147" s="118">
        <f>B147*C147*D147</f>
        <v>4.7066021862167153E-5</v>
      </c>
      <c r="F147" s="119">
        <f>I122</f>
        <v>5468.1925390501438</v>
      </c>
      <c r="G147" s="120">
        <f>E147*F147</f>
        <v>0.25736606958947339</v>
      </c>
      <c r="J147" s="45"/>
    </row>
    <row r="148" spans="1:10" ht="15" hidden="1" thickBot="1" x14ac:dyDescent="0.25">
      <c r="A148" s="429" t="s">
        <v>181</v>
      </c>
      <c r="B148" s="430"/>
      <c r="C148" s="430"/>
      <c r="D148" s="430"/>
      <c r="E148" s="430"/>
      <c r="F148" s="431"/>
      <c r="G148" s="121">
        <f>ROUND(SUM(G146:G147),2)</f>
        <v>0.26</v>
      </c>
      <c r="J148" s="45"/>
    </row>
    <row r="149" spans="1:10" ht="14.25" hidden="1" x14ac:dyDescent="0.2">
      <c r="A149" s="122"/>
      <c r="B149" s="122"/>
      <c r="C149" s="122"/>
      <c r="D149" s="123"/>
      <c r="E149" s="124"/>
      <c r="F149" s="124"/>
      <c r="G149" s="124"/>
      <c r="J149" s="45"/>
    </row>
  </sheetData>
  <mergeCells count="173">
    <mergeCell ref="A148:F148"/>
    <mergeCell ref="B136:H136"/>
    <mergeCell ref="B137:H137"/>
    <mergeCell ref="B138:H138"/>
    <mergeCell ref="B139:H139"/>
    <mergeCell ref="A140:H140"/>
    <mergeCell ref="A143:G143"/>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27:B127"/>
    <mergeCell ref="C127:D127"/>
    <mergeCell ref="E127:F127"/>
    <mergeCell ref="A128:B128"/>
    <mergeCell ref="C128:D128"/>
    <mergeCell ref="E128:F128"/>
    <mergeCell ref="A122:H122"/>
    <mergeCell ref="B124:G124"/>
    <mergeCell ref="A125:B125"/>
    <mergeCell ref="C125:D125"/>
    <mergeCell ref="E125:F125"/>
    <mergeCell ref="A126:B126"/>
    <mergeCell ref="C126:D126"/>
    <mergeCell ref="E126:F126"/>
    <mergeCell ref="B116:H116"/>
    <mergeCell ref="B117:H117"/>
    <mergeCell ref="B118:H118"/>
    <mergeCell ref="B119:H119"/>
    <mergeCell ref="B120:H120"/>
    <mergeCell ref="B121:H121"/>
    <mergeCell ref="B109:G109"/>
    <mergeCell ref="A110:G110"/>
    <mergeCell ref="B111:I111"/>
    <mergeCell ref="A113:I113"/>
    <mergeCell ref="A114:H114"/>
    <mergeCell ref="B115:H115"/>
    <mergeCell ref="B103:G103"/>
    <mergeCell ref="B104:G104"/>
    <mergeCell ref="B105:G105"/>
    <mergeCell ref="B106:G106"/>
    <mergeCell ref="B107:G107"/>
    <mergeCell ref="B108:G108"/>
    <mergeCell ref="B97:G97"/>
    <mergeCell ref="B98:G98"/>
    <mergeCell ref="B99:G99"/>
    <mergeCell ref="A100:G100"/>
    <mergeCell ref="A101:I101"/>
    <mergeCell ref="A102:I102"/>
    <mergeCell ref="B90:H90"/>
    <mergeCell ref="A92:H92"/>
    <mergeCell ref="A93:I93"/>
    <mergeCell ref="A94:I94"/>
    <mergeCell ref="B95:G95"/>
    <mergeCell ref="B96:G96"/>
    <mergeCell ref="B91:H91"/>
    <mergeCell ref="B84:G84"/>
    <mergeCell ref="A85:G85"/>
    <mergeCell ref="A86:I86"/>
    <mergeCell ref="A87:I87"/>
    <mergeCell ref="A88:H88"/>
    <mergeCell ref="B89:H89"/>
    <mergeCell ref="B78:G78"/>
    <mergeCell ref="B79:G79"/>
    <mergeCell ref="B80:G80"/>
    <mergeCell ref="A81:G81"/>
    <mergeCell ref="A82:I82"/>
    <mergeCell ref="A83:G83"/>
    <mergeCell ref="A72:I72"/>
    <mergeCell ref="A73:I73"/>
    <mergeCell ref="A74:G74"/>
    <mergeCell ref="B75:G75"/>
    <mergeCell ref="B76:G76"/>
    <mergeCell ref="B77:G77"/>
    <mergeCell ref="B66:G66"/>
    <mergeCell ref="B67:G67"/>
    <mergeCell ref="B68:G68"/>
    <mergeCell ref="B69:G69"/>
    <mergeCell ref="B70:G70"/>
    <mergeCell ref="A71:G71"/>
    <mergeCell ref="B60:H60"/>
    <mergeCell ref="A61:H61"/>
    <mergeCell ref="A62:I62"/>
    <mergeCell ref="A63:I63"/>
    <mergeCell ref="B64:G64"/>
    <mergeCell ref="B65:G65"/>
    <mergeCell ref="A54:H54"/>
    <mergeCell ref="A55:I55"/>
    <mergeCell ref="A56:I56"/>
    <mergeCell ref="A57:H57"/>
    <mergeCell ref="B58:H58"/>
    <mergeCell ref="B59:H59"/>
    <mergeCell ref="A48:G48"/>
    <mergeCell ref="B49:G49"/>
    <mergeCell ref="B50:G50"/>
    <mergeCell ref="B51:G51"/>
    <mergeCell ref="B52:G52"/>
    <mergeCell ref="B53:G53"/>
    <mergeCell ref="B42:G42"/>
    <mergeCell ref="B43:G43"/>
    <mergeCell ref="B44:G44"/>
    <mergeCell ref="B45:G45"/>
    <mergeCell ref="A46:G46"/>
    <mergeCell ref="A47:I47"/>
    <mergeCell ref="B33:G33"/>
    <mergeCell ref="B34:G34"/>
    <mergeCell ref="A35:G35"/>
    <mergeCell ref="A36:I36"/>
    <mergeCell ref="A37:G37"/>
    <mergeCell ref="K37:K45"/>
    <mergeCell ref="B38:G38"/>
    <mergeCell ref="B39:G39"/>
    <mergeCell ref="B40:G40"/>
    <mergeCell ref="B41:G41"/>
    <mergeCell ref="B26:G26"/>
    <mergeCell ref="B27:G27"/>
    <mergeCell ref="A28:H28"/>
    <mergeCell ref="A30:I30"/>
    <mergeCell ref="A31:G31"/>
    <mergeCell ref="B32:G32"/>
    <mergeCell ref="B20:G20"/>
    <mergeCell ref="B21:G21"/>
    <mergeCell ref="B22:G22"/>
    <mergeCell ref="B23:G23"/>
    <mergeCell ref="B24:G24"/>
    <mergeCell ref="B25:G25"/>
    <mergeCell ref="B14:H14"/>
    <mergeCell ref="B15:H15"/>
    <mergeCell ref="B16:H16"/>
    <mergeCell ref="B17:H17"/>
    <mergeCell ref="A18:I18"/>
    <mergeCell ref="A19:I19"/>
    <mergeCell ref="L11:Q11"/>
    <mergeCell ref="R11:S11"/>
    <mergeCell ref="A12:I12"/>
    <mergeCell ref="L12:Q12"/>
    <mergeCell ref="R12:S12"/>
    <mergeCell ref="B13:H13"/>
    <mergeCell ref="A9:B9"/>
    <mergeCell ref="C9:D9"/>
    <mergeCell ref="E9:I9"/>
    <mergeCell ref="L9:Q9"/>
    <mergeCell ref="R9:S9"/>
    <mergeCell ref="A10:B10"/>
    <mergeCell ref="C10:D10"/>
    <mergeCell ref="E10:I10"/>
    <mergeCell ref="L10:Q10"/>
    <mergeCell ref="R10:S10"/>
    <mergeCell ref="A2:I2"/>
    <mergeCell ref="B5:H5"/>
    <mergeCell ref="K5:S5"/>
    <mergeCell ref="B6:H6"/>
    <mergeCell ref="K6:S6"/>
    <mergeCell ref="K7:S7"/>
    <mergeCell ref="A8:I8"/>
    <mergeCell ref="K8:S8"/>
    <mergeCell ref="K2:S2"/>
    <mergeCell ref="B3:H3"/>
    <mergeCell ref="L3:M3"/>
    <mergeCell ref="N3:Q3"/>
    <mergeCell ref="R3:S3"/>
    <mergeCell ref="B4:H4"/>
    <mergeCell ref="L4:M4"/>
    <mergeCell ref="N4:Q4"/>
    <mergeCell ref="R4:S4"/>
  </mergeCells>
  <pageMargins left="0.25" right="0.25" top="0.75" bottom="0.75" header="0.3" footer="0.3"/>
  <pageSetup paperSize="9"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634C9-03F4-4AFE-8B10-25247803FAE5}">
  <dimension ref="A2:S148"/>
  <sheetViews>
    <sheetView tabSelected="1" topLeftCell="A69" zoomScale="118" zoomScaleNormal="118" workbookViewId="0">
      <selection activeCell="I104" sqref="I104"/>
    </sheetView>
  </sheetViews>
  <sheetFormatPr defaultColWidth="9.140625" defaultRowHeight="12.75" x14ac:dyDescent="0.2"/>
  <cols>
    <col min="1" max="3" width="9.140625" style="45"/>
    <col min="4" max="4" width="24" style="45" bestFit="1" customWidth="1"/>
    <col min="5"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128" t="s">
        <v>1</v>
      </c>
      <c r="B3" s="373" t="s">
        <v>2</v>
      </c>
      <c r="C3" s="373"/>
      <c r="D3" s="373"/>
      <c r="E3" s="373"/>
      <c r="F3" s="373"/>
      <c r="G3" s="373"/>
      <c r="H3" s="373"/>
      <c r="I3" s="1">
        <v>44182</v>
      </c>
      <c r="K3" s="127"/>
      <c r="L3" s="410"/>
      <c r="M3" s="410"/>
      <c r="N3" s="410"/>
      <c r="O3" s="410"/>
      <c r="P3" s="410"/>
      <c r="Q3" s="410"/>
      <c r="R3" s="416"/>
      <c r="S3" s="416"/>
    </row>
    <row r="4" spans="1:19" x14ac:dyDescent="0.2">
      <c r="A4" s="128" t="s">
        <v>3</v>
      </c>
      <c r="B4" s="373" t="s">
        <v>4</v>
      </c>
      <c r="C4" s="373"/>
      <c r="D4" s="373"/>
      <c r="E4" s="373"/>
      <c r="F4" s="373"/>
      <c r="G4" s="373"/>
      <c r="H4" s="373"/>
      <c r="I4" s="128" t="s">
        <v>183</v>
      </c>
      <c r="K4" s="127"/>
      <c r="L4" s="407"/>
      <c r="M4" s="407"/>
      <c r="N4" s="410"/>
      <c r="O4" s="410"/>
      <c r="P4" s="410"/>
      <c r="Q4" s="410"/>
      <c r="R4" s="410"/>
      <c r="S4" s="410"/>
    </row>
    <row r="5" spans="1:19" x14ac:dyDescent="0.2">
      <c r="A5" s="128" t="s">
        <v>5</v>
      </c>
      <c r="B5" s="373" t="s">
        <v>6</v>
      </c>
      <c r="C5" s="373"/>
      <c r="D5" s="373"/>
      <c r="E5" s="373"/>
      <c r="F5" s="373"/>
      <c r="G5" s="373"/>
      <c r="H5" s="373"/>
      <c r="I5" s="128">
        <v>2020</v>
      </c>
      <c r="K5" s="414"/>
      <c r="L5" s="414"/>
      <c r="M5" s="414"/>
      <c r="N5" s="414"/>
      <c r="O5" s="414"/>
      <c r="P5" s="414"/>
      <c r="Q5" s="414"/>
      <c r="R5" s="414"/>
      <c r="S5" s="414"/>
    </row>
    <row r="6" spans="1:19" x14ac:dyDescent="0.2">
      <c r="A6" s="128" t="s">
        <v>7</v>
      </c>
      <c r="B6" s="373" t="s">
        <v>8</v>
      </c>
      <c r="C6" s="373"/>
      <c r="D6" s="373"/>
      <c r="E6" s="373"/>
      <c r="F6" s="373"/>
      <c r="G6" s="373"/>
      <c r="H6" s="373"/>
      <c r="I6" s="128">
        <v>12</v>
      </c>
      <c r="K6" s="414"/>
      <c r="L6" s="414"/>
      <c r="M6" s="414"/>
      <c r="N6" s="414"/>
      <c r="O6" s="414"/>
      <c r="P6" s="414"/>
      <c r="Q6" s="414"/>
      <c r="R6" s="414"/>
      <c r="S6" s="414"/>
    </row>
    <row r="7" spans="1:19" x14ac:dyDescent="0.2">
      <c r="A7" s="131"/>
      <c r="B7" s="130"/>
      <c r="C7" s="130"/>
      <c r="D7" s="130"/>
      <c r="E7" s="130"/>
      <c r="F7" s="130"/>
      <c r="G7" s="130"/>
      <c r="H7" s="131"/>
      <c r="I7" s="131"/>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127"/>
      <c r="L9" s="406"/>
      <c r="M9" s="406"/>
      <c r="N9" s="406"/>
      <c r="O9" s="406"/>
      <c r="P9" s="406"/>
      <c r="Q9" s="406"/>
      <c r="R9" s="410"/>
      <c r="S9" s="410"/>
    </row>
    <row r="10" spans="1:19" ht="27" customHeight="1" x14ac:dyDescent="0.2">
      <c r="A10" s="411" t="s">
        <v>129</v>
      </c>
      <c r="B10" s="411"/>
      <c r="C10" s="370"/>
      <c r="D10" s="370"/>
      <c r="E10" s="412">
        <v>1</v>
      </c>
      <c r="F10" s="412"/>
      <c r="G10" s="412"/>
      <c r="H10" s="412"/>
      <c r="I10" s="412"/>
      <c r="K10" s="126"/>
      <c r="L10" s="408"/>
      <c r="M10" s="408"/>
      <c r="N10" s="408"/>
      <c r="O10" s="408"/>
      <c r="P10" s="408"/>
      <c r="Q10" s="408"/>
      <c r="R10" s="413"/>
      <c r="S10" s="413"/>
    </row>
    <row r="11" spans="1:19" x14ac:dyDescent="0.2">
      <c r="A11" s="131"/>
      <c r="B11" s="130"/>
      <c r="C11" s="130"/>
      <c r="D11" s="130"/>
      <c r="E11" s="130"/>
      <c r="F11" s="130"/>
      <c r="G11" s="130"/>
      <c r="H11" s="131"/>
      <c r="I11" s="131"/>
      <c r="K11" s="127"/>
      <c r="L11" s="406"/>
      <c r="M11" s="406"/>
      <c r="N11" s="406"/>
      <c r="O11" s="406"/>
      <c r="P11" s="406"/>
      <c r="Q11" s="406"/>
      <c r="R11" s="407"/>
      <c r="S11" s="407"/>
    </row>
    <row r="12" spans="1:19" x14ac:dyDescent="0.2">
      <c r="A12" s="395" t="s">
        <v>13</v>
      </c>
      <c r="B12" s="395"/>
      <c r="C12" s="395"/>
      <c r="D12" s="395"/>
      <c r="E12" s="395"/>
      <c r="F12" s="395"/>
      <c r="G12" s="395"/>
      <c r="H12" s="395"/>
      <c r="I12" s="395"/>
      <c r="K12" s="126"/>
      <c r="L12" s="408"/>
      <c r="M12" s="408"/>
      <c r="N12" s="408"/>
      <c r="O12" s="408"/>
      <c r="P12" s="408"/>
      <c r="Q12" s="408"/>
      <c r="R12" s="409"/>
      <c r="S12" s="409"/>
    </row>
    <row r="13" spans="1:19" x14ac:dyDescent="0.2">
      <c r="A13" s="128">
        <v>1</v>
      </c>
      <c r="B13" s="373" t="s">
        <v>14</v>
      </c>
      <c r="C13" s="373"/>
      <c r="D13" s="373"/>
      <c r="E13" s="373"/>
      <c r="F13" s="373"/>
      <c r="G13" s="373"/>
      <c r="H13" s="373"/>
      <c r="I13" s="50" t="s">
        <v>184</v>
      </c>
      <c r="K13" s="2"/>
      <c r="L13" s="2"/>
      <c r="M13" s="2"/>
      <c r="N13" s="2"/>
      <c r="O13" s="2"/>
      <c r="P13" s="2"/>
      <c r="Q13" s="2"/>
      <c r="R13" s="2"/>
      <c r="S13" s="2"/>
    </row>
    <row r="14" spans="1:19" x14ac:dyDescent="0.2">
      <c r="A14" s="128">
        <v>2</v>
      </c>
      <c r="B14" s="373" t="s">
        <v>15</v>
      </c>
      <c r="C14" s="373"/>
      <c r="D14" s="373"/>
      <c r="E14" s="373"/>
      <c r="F14" s="373"/>
      <c r="G14" s="373"/>
      <c r="H14" s="373"/>
      <c r="I14" s="128"/>
    </row>
    <row r="15" spans="1:19" x14ac:dyDescent="0.2">
      <c r="A15" s="128">
        <v>3</v>
      </c>
      <c r="B15" s="373" t="s">
        <v>16</v>
      </c>
      <c r="C15" s="373"/>
      <c r="D15" s="373"/>
      <c r="E15" s="373"/>
      <c r="F15" s="373"/>
      <c r="G15" s="373"/>
      <c r="H15" s="373"/>
      <c r="I15" s="3">
        <v>1075</v>
      </c>
    </row>
    <row r="16" spans="1:19" x14ac:dyDescent="0.2">
      <c r="A16" s="128">
        <v>4</v>
      </c>
      <c r="B16" s="373" t="s">
        <v>17</v>
      </c>
      <c r="C16" s="373"/>
      <c r="D16" s="373"/>
      <c r="E16" s="373"/>
      <c r="F16" s="373"/>
      <c r="G16" s="373"/>
      <c r="H16" s="373"/>
      <c r="I16" s="1" t="str">
        <f>A10</f>
        <v>ASG</v>
      </c>
    </row>
    <row r="17" spans="1:12" x14ac:dyDescent="0.2">
      <c r="A17" s="128">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129">
        <v>1</v>
      </c>
      <c r="B20" s="389" t="s">
        <v>20</v>
      </c>
      <c r="C20" s="389"/>
      <c r="D20" s="389"/>
      <c r="E20" s="389"/>
      <c r="F20" s="389"/>
      <c r="G20" s="389"/>
      <c r="H20" s="129" t="s">
        <v>21</v>
      </c>
      <c r="I20" s="129" t="s">
        <v>22</v>
      </c>
    </row>
    <row r="21" spans="1:12" x14ac:dyDescent="0.2">
      <c r="A21" s="129" t="s">
        <v>1</v>
      </c>
      <c r="B21" s="373" t="s">
        <v>23</v>
      </c>
      <c r="C21" s="373"/>
      <c r="D21" s="373"/>
      <c r="E21" s="373"/>
      <c r="F21" s="373"/>
      <c r="G21" s="373"/>
      <c r="H21" s="4"/>
      <c r="I21" s="5">
        <f>I15</f>
        <v>1075</v>
      </c>
      <c r="L21" s="20">
        <f>I35+I46+I71+I81</f>
        <v>708.60565374999999</v>
      </c>
    </row>
    <row r="22" spans="1:12" x14ac:dyDescent="0.2">
      <c r="A22" s="129" t="s">
        <v>3</v>
      </c>
      <c r="B22" s="373" t="s">
        <v>24</v>
      </c>
      <c r="C22" s="373"/>
      <c r="D22" s="373"/>
      <c r="E22" s="373"/>
      <c r="F22" s="373"/>
      <c r="G22" s="373"/>
      <c r="H22" s="6"/>
      <c r="I22" s="5">
        <v>0</v>
      </c>
      <c r="L22" s="53">
        <f>L21/I28</f>
        <v>0.65916805000000001</v>
      </c>
    </row>
    <row r="23" spans="1:12" x14ac:dyDescent="0.2">
      <c r="A23" s="129" t="s">
        <v>5</v>
      </c>
      <c r="B23" s="373" t="s">
        <v>25</v>
      </c>
      <c r="C23" s="373"/>
      <c r="D23" s="373"/>
      <c r="E23" s="373"/>
      <c r="F23" s="373"/>
      <c r="G23" s="373"/>
      <c r="H23" s="6">
        <v>0</v>
      </c>
      <c r="I23" s="5">
        <f>I21*H23</f>
        <v>0</v>
      </c>
    </row>
    <row r="24" spans="1:12" x14ac:dyDescent="0.2">
      <c r="A24" s="129" t="s">
        <v>7</v>
      </c>
      <c r="B24" s="373" t="s">
        <v>26</v>
      </c>
      <c r="C24" s="373"/>
      <c r="D24" s="373"/>
      <c r="E24" s="373"/>
      <c r="F24" s="373"/>
      <c r="G24" s="373"/>
      <c r="H24" s="6"/>
      <c r="I24" s="5">
        <v>0</v>
      </c>
    </row>
    <row r="25" spans="1:12" x14ac:dyDescent="0.2">
      <c r="A25" s="129" t="s">
        <v>27</v>
      </c>
      <c r="B25" s="373" t="s">
        <v>28</v>
      </c>
      <c r="C25" s="373"/>
      <c r="D25" s="373"/>
      <c r="E25" s="373"/>
      <c r="F25" s="373"/>
      <c r="G25" s="373"/>
      <c r="H25" s="6"/>
      <c r="I25" s="5">
        <v>0</v>
      </c>
    </row>
    <row r="26" spans="1:12" x14ac:dyDescent="0.2">
      <c r="A26" s="129" t="s">
        <v>29</v>
      </c>
      <c r="B26" s="373" t="s">
        <v>30</v>
      </c>
      <c r="C26" s="373"/>
      <c r="D26" s="373"/>
      <c r="E26" s="373"/>
      <c r="F26" s="373"/>
      <c r="G26" s="373"/>
      <c r="H26" s="6"/>
      <c r="I26" s="5">
        <v>0</v>
      </c>
    </row>
    <row r="27" spans="1:12" x14ac:dyDescent="0.2">
      <c r="A27" s="129"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1075</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129" t="s">
        <v>21</v>
      </c>
      <c r="I31" s="129" t="s">
        <v>22</v>
      </c>
      <c r="J31" s="48"/>
    </row>
    <row r="32" spans="1:12" x14ac:dyDescent="0.2">
      <c r="A32" s="129" t="s">
        <v>1</v>
      </c>
      <c r="B32" s="373" t="s">
        <v>36</v>
      </c>
      <c r="C32" s="373"/>
      <c r="D32" s="373"/>
      <c r="E32" s="373"/>
      <c r="F32" s="373"/>
      <c r="G32" s="373"/>
      <c r="H32" s="10">
        <v>8.3299999999999999E-2</v>
      </c>
      <c r="I32" s="5">
        <f>$I$28*H32</f>
        <v>89.547499999999999</v>
      </c>
      <c r="J32" s="48"/>
    </row>
    <row r="33" spans="1:11" x14ac:dyDescent="0.2">
      <c r="A33" s="129" t="s">
        <v>3</v>
      </c>
      <c r="B33" s="373" t="s">
        <v>185</v>
      </c>
      <c r="C33" s="373"/>
      <c r="D33" s="373"/>
      <c r="E33" s="373"/>
      <c r="F33" s="373"/>
      <c r="G33" s="373"/>
      <c r="H33" s="11">
        <v>2.7799999999999998E-2</v>
      </c>
      <c r="I33" s="5">
        <f>H33*I28</f>
        <v>29.884999999999998</v>
      </c>
      <c r="J33" s="48"/>
    </row>
    <row r="34" spans="1:11" x14ac:dyDescent="0.2">
      <c r="A34" s="129" t="s">
        <v>132</v>
      </c>
      <c r="B34" s="373" t="s">
        <v>133</v>
      </c>
      <c r="C34" s="373"/>
      <c r="D34" s="373"/>
      <c r="E34" s="373"/>
      <c r="F34" s="373"/>
      <c r="G34" s="373"/>
      <c r="H34" s="11">
        <f>(H32+H33)*H46</f>
        <v>3.9784910000000007E-2</v>
      </c>
      <c r="I34" s="5">
        <f>I28*H34</f>
        <v>42.768778250000004</v>
      </c>
      <c r="J34" s="48"/>
    </row>
    <row r="35" spans="1:11" x14ac:dyDescent="0.2">
      <c r="A35" s="389" t="s">
        <v>37</v>
      </c>
      <c r="B35" s="389"/>
      <c r="C35" s="389"/>
      <c r="D35" s="389"/>
      <c r="E35" s="389"/>
      <c r="F35" s="389"/>
      <c r="G35" s="389"/>
      <c r="H35" s="12">
        <f>TRUNC(SUM(H32:H33),4)</f>
        <v>0.1111</v>
      </c>
      <c r="I35" s="13">
        <f>SUM(I32:I34)</f>
        <v>162.20127825</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129" t="s">
        <v>21</v>
      </c>
      <c r="I37" s="129" t="s">
        <v>22</v>
      </c>
      <c r="J37" s="48"/>
      <c r="K37" s="404"/>
    </row>
    <row r="38" spans="1:11" x14ac:dyDescent="0.2">
      <c r="A38" s="129" t="s">
        <v>1</v>
      </c>
      <c r="B38" s="373" t="s">
        <v>39</v>
      </c>
      <c r="C38" s="373"/>
      <c r="D38" s="373"/>
      <c r="E38" s="373"/>
      <c r="F38" s="373"/>
      <c r="G38" s="373"/>
      <c r="H38" s="10">
        <v>0.2</v>
      </c>
      <c r="I38" s="5">
        <f>($I$28)*H38</f>
        <v>215</v>
      </c>
      <c r="J38" s="48"/>
      <c r="K38" s="404"/>
    </row>
    <row r="39" spans="1:11" x14ac:dyDescent="0.2">
      <c r="A39" s="129" t="s">
        <v>3</v>
      </c>
      <c r="B39" s="373" t="s">
        <v>40</v>
      </c>
      <c r="C39" s="373"/>
      <c r="D39" s="373"/>
      <c r="E39" s="373"/>
      <c r="F39" s="373"/>
      <c r="G39" s="373"/>
      <c r="H39" s="10">
        <v>2.5000000000000001E-2</v>
      </c>
      <c r="I39" s="5">
        <f t="shared" ref="I39:I45" si="0">($I$28)*H39</f>
        <v>26.875</v>
      </c>
      <c r="J39" s="48"/>
      <c r="K39" s="404"/>
    </row>
    <row r="40" spans="1:11" x14ac:dyDescent="0.2">
      <c r="A40" s="129" t="s">
        <v>5</v>
      </c>
      <c r="B40" s="373" t="s">
        <v>41</v>
      </c>
      <c r="C40" s="373"/>
      <c r="D40" s="373"/>
      <c r="E40" s="373"/>
      <c r="F40" s="373"/>
      <c r="G40" s="373"/>
      <c r="H40" s="10">
        <v>2.01E-2</v>
      </c>
      <c r="I40" s="5">
        <f t="shared" si="0"/>
        <v>21.607499999999998</v>
      </c>
      <c r="J40" s="48"/>
      <c r="K40" s="404"/>
    </row>
    <row r="41" spans="1:11" x14ac:dyDescent="0.2">
      <c r="A41" s="129" t="s">
        <v>7</v>
      </c>
      <c r="B41" s="373" t="s">
        <v>42</v>
      </c>
      <c r="C41" s="373"/>
      <c r="D41" s="373"/>
      <c r="E41" s="373"/>
      <c r="F41" s="373"/>
      <c r="G41" s="373"/>
      <c r="H41" s="10">
        <v>1.4999999999999999E-2</v>
      </c>
      <c r="I41" s="5">
        <f t="shared" si="0"/>
        <v>16.125</v>
      </c>
      <c r="J41" s="48"/>
      <c r="K41" s="404"/>
    </row>
    <row r="42" spans="1:11" x14ac:dyDescent="0.2">
      <c r="A42" s="129" t="s">
        <v>27</v>
      </c>
      <c r="B42" s="373" t="s">
        <v>43</v>
      </c>
      <c r="C42" s="373"/>
      <c r="D42" s="373"/>
      <c r="E42" s="373"/>
      <c r="F42" s="373"/>
      <c r="G42" s="373"/>
      <c r="H42" s="10">
        <v>0.01</v>
      </c>
      <c r="I42" s="5">
        <f t="shared" si="0"/>
        <v>10.75</v>
      </c>
      <c r="J42" s="48"/>
      <c r="K42" s="404"/>
    </row>
    <row r="43" spans="1:11" x14ac:dyDescent="0.2">
      <c r="A43" s="129" t="s">
        <v>29</v>
      </c>
      <c r="B43" s="373" t="s">
        <v>44</v>
      </c>
      <c r="C43" s="373"/>
      <c r="D43" s="373"/>
      <c r="E43" s="373"/>
      <c r="F43" s="373"/>
      <c r="G43" s="373"/>
      <c r="H43" s="10">
        <v>6.0000000000000001E-3</v>
      </c>
      <c r="I43" s="5">
        <f t="shared" si="0"/>
        <v>6.45</v>
      </c>
      <c r="J43" s="48"/>
      <c r="K43" s="404"/>
    </row>
    <row r="44" spans="1:11" x14ac:dyDescent="0.2">
      <c r="A44" s="129" t="s">
        <v>31</v>
      </c>
      <c r="B44" s="373" t="s">
        <v>45</v>
      </c>
      <c r="C44" s="373"/>
      <c r="D44" s="373"/>
      <c r="E44" s="373"/>
      <c r="F44" s="373"/>
      <c r="G44" s="373"/>
      <c r="H44" s="10">
        <v>2E-3</v>
      </c>
      <c r="I44" s="5">
        <f t="shared" si="0"/>
        <v>2.15</v>
      </c>
      <c r="J44" s="48"/>
      <c r="K44" s="404"/>
    </row>
    <row r="45" spans="1:11" x14ac:dyDescent="0.2">
      <c r="A45" s="129" t="s">
        <v>46</v>
      </c>
      <c r="B45" s="373" t="s">
        <v>47</v>
      </c>
      <c r="C45" s="373"/>
      <c r="D45" s="373"/>
      <c r="E45" s="373"/>
      <c r="F45" s="373"/>
      <c r="G45" s="373"/>
      <c r="H45" s="10">
        <v>0.08</v>
      </c>
      <c r="I45" s="5">
        <f t="shared" si="0"/>
        <v>86</v>
      </c>
      <c r="J45" s="48"/>
      <c r="K45" s="404"/>
    </row>
    <row r="46" spans="1:11" x14ac:dyDescent="0.2">
      <c r="A46" s="389" t="s">
        <v>48</v>
      </c>
      <c r="B46" s="389"/>
      <c r="C46" s="389"/>
      <c r="D46" s="389"/>
      <c r="E46" s="389"/>
      <c r="F46" s="389"/>
      <c r="G46" s="389"/>
      <c r="H46" s="12">
        <f>SUM(H38:H45)</f>
        <v>0.35810000000000003</v>
      </c>
      <c r="I46" s="13">
        <f>(SUM(I38:I45))</f>
        <v>384.95749999999998</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129" t="s">
        <v>22</v>
      </c>
      <c r="J48" s="48"/>
    </row>
    <row r="49" spans="1:10" x14ac:dyDescent="0.2">
      <c r="A49" s="129" t="s">
        <v>1</v>
      </c>
      <c r="B49" s="393" t="s">
        <v>125</v>
      </c>
      <c r="C49" s="393"/>
      <c r="D49" s="393"/>
      <c r="E49" s="393"/>
      <c r="F49" s="393"/>
      <c r="G49" s="393"/>
      <c r="H49" s="55">
        <v>3.65</v>
      </c>
      <c r="I49" s="14">
        <f>(H49*2*22)-(I21*0.06)</f>
        <v>96.1</v>
      </c>
      <c r="J49" s="48"/>
    </row>
    <row r="50" spans="1:10" x14ac:dyDescent="0.2">
      <c r="A50" s="129" t="s">
        <v>3</v>
      </c>
      <c r="B50" s="393" t="s">
        <v>124</v>
      </c>
      <c r="C50" s="393"/>
      <c r="D50" s="393"/>
      <c r="E50" s="393"/>
      <c r="F50" s="393"/>
      <c r="G50" s="393"/>
      <c r="H50" s="55">
        <v>418</v>
      </c>
      <c r="I50" s="15">
        <f>H50*0.8</f>
        <v>334.40000000000003</v>
      </c>
      <c r="J50" s="49"/>
    </row>
    <row r="51" spans="1:10" x14ac:dyDescent="0.2">
      <c r="A51" s="129" t="s">
        <v>5</v>
      </c>
      <c r="B51" s="393" t="s">
        <v>126</v>
      </c>
      <c r="C51" s="393"/>
      <c r="D51" s="393"/>
      <c r="E51" s="393"/>
      <c r="F51" s="393"/>
      <c r="G51" s="393"/>
      <c r="H51" s="55">
        <v>0</v>
      </c>
      <c r="I51" s="14">
        <f>H51</f>
        <v>0</v>
      </c>
      <c r="J51" s="48"/>
    </row>
    <row r="52" spans="1:10" x14ac:dyDescent="0.2">
      <c r="A52" s="129" t="s">
        <v>7</v>
      </c>
      <c r="B52" s="397" t="s">
        <v>127</v>
      </c>
      <c r="C52" s="398"/>
      <c r="D52" s="398"/>
      <c r="E52" s="398"/>
      <c r="F52" s="398"/>
      <c r="G52" s="399"/>
      <c r="H52" s="55">
        <v>0</v>
      </c>
      <c r="I52" s="14">
        <f>H52</f>
        <v>0</v>
      </c>
      <c r="J52" s="48"/>
    </row>
    <row r="53" spans="1:10" x14ac:dyDescent="0.2">
      <c r="A53" s="129"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438.5</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129" t="s">
        <v>22</v>
      </c>
      <c r="J57" s="48"/>
    </row>
    <row r="58" spans="1:10" x14ac:dyDescent="0.2">
      <c r="A58" s="129" t="s">
        <v>54</v>
      </c>
      <c r="B58" s="370" t="s">
        <v>55</v>
      </c>
      <c r="C58" s="370"/>
      <c r="D58" s="370"/>
      <c r="E58" s="370"/>
      <c r="F58" s="370"/>
      <c r="G58" s="370"/>
      <c r="H58" s="370"/>
      <c r="I58" s="16">
        <f>I35</f>
        <v>162.20127825</v>
      </c>
      <c r="J58" s="48"/>
    </row>
    <row r="59" spans="1:10" x14ac:dyDescent="0.2">
      <c r="A59" s="129" t="s">
        <v>56</v>
      </c>
      <c r="B59" s="370" t="s">
        <v>57</v>
      </c>
      <c r="C59" s="370"/>
      <c r="D59" s="370"/>
      <c r="E59" s="370"/>
      <c r="F59" s="370"/>
      <c r="G59" s="370"/>
      <c r="H59" s="370"/>
      <c r="I59" s="16">
        <f>I46</f>
        <v>384.95749999999998</v>
      </c>
      <c r="J59" s="48"/>
    </row>
    <row r="60" spans="1:10" x14ac:dyDescent="0.2">
      <c r="A60" s="129" t="s">
        <v>58</v>
      </c>
      <c r="B60" s="370" t="s">
        <v>59</v>
      </c>
      <c r="C60" s="370"/>
      <c r="D60" s="370"/>
      <c r="E60" s="370"/>
      <c r="F60" s="370"/>
      <c r="G60" s="370"/>
      <c r="H60" s="370"/>
      <c r="I60" s="16">
        <f>I54</f>
        <v>438.5</v>
      </c>
      <c r="J60" s="48"/>
    </row>
    <row r="61" spans="1:10" x14ac:dyDescent="0.2">
      <c r="A61" s="389" t="s">
        <v>60</v>
      </c>
      <c r="B61" s="389"/>
      <c r="C61" s="389"/>
      <c r="D61" s="389"/>
      <c r="E61" s="389"/>
      <c r="F61" s="389"/>
      <c r="G61" s="389"/>
      <c r="H61" s="389"/>
      <c r="I61" s="13">
        <f>(SUM(I58:I60))</f>
        <v>985.65877824999995</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129">
        <v>3</v>
      </c>
      <c r="B64" s="389" t="s">
        <v>62</v>
      </c>
      <c r="C64" s="389"/>
      <c r="D64" s="389"/>
      <c r="E64" s="389"/>
      <c r="F64" s="389"/>
      <c r="G64" s="389"/>
      <c r="H64" s="129" t="s">
        <v>21</v>
      </c>
      <c r="I64" s="129" t="s">
        <v>22</v>
      </c>
      <c r="J64" s="48"/>
    </row>
    <row r="65" spans="1:11" x14ac:dyDescent="0.2">
      <c r="A65" s="129" t="s">
        <v>1</v>
      </c>
      <c r="B65" s="373" t="s">
        <v>63</v>
      </c>
      <c r="C65" s="373"/>
      <c r="D65" s="373"/>
      <c r="E65" s="373"/>
      <c r="F65" s="373"/>
      <c r="G65" s="373"/>
      <c r="H65" s="17">
        <v>4.1999999999999997E-3</v>
      </c>
      <c r="I65" s="16">
        <f>$I$28*H65</f>
        <v>4.5149999999999997</v>
      </c>
      <c r="J65" s="48"/>
    </row>
    <row r="66" spans="1:11" x14ac:dyDescent="0.2">
      <c r="A66" s="129" t="s">
        <v>3</v>
      </c>
      <c r="B66" s="373" t="s">
        <v>64</v>
      </c>
      <c r="C66" s="373"/>
      <c r="D66" s="373"/>
      <c r="E66" s="373"/>
      <c r="F66" s="373"/>
      <c r="G66" s="373"/>
      <c r="H66" s="17">
        <f>H45*H65</f>
        <v>3.3599999999999998E-4</v>
      </c>
      <c r="I66" s="5">
        <f>H66*I28</f>
        <v>0.36119999999999997</v>
      </c>
      <c r="J66" s="48"/>
    </row>
    <row r="67" spans="1:11" x14ac:dyDescent="0.2">
      <c r="A67" s="129" t="s">
        <v>5</v>
      </c>
      <c r="B67" s="373" t="s">
        <v>65</v>
      </c>
      <c r="C67" s="373"/>
      <c r="D67" s="373"/>
      <c r="E67" s="373"/>
      <c r="F67" s="373"/>
      <c r="G67" s="373"/>
      <c r="H67" s="18">
        <v>0.01</v>
      </c>
      <c r="I67" s="5">
        <f>$I$28*H67</f>
        <v>10.75</v>
      </c>
      <c r="J67" s="48"/>
    </row>
    <row r="68" spans="1:11" x14ac:dyDescent="0.2">
      <c r="A68" s="129" t="s">
        <v>7</v>
      </c>
      <c r="B68" s="373" t="s">
        <v>66</v>
      </c>
      <c r="C68" s="373"/>
      <c r="D68" s="373"/>
      <c r="E68" s="373"/>
      <c r="F68" s="373"/>
      <c r="G68" s="373"/>
      <c r="H68" s="46">
        <v>1.9400000000000001E-2</v>
      </c>
      <c r="I68" s="5">
        <f>$I$28*H68</f>
        <v>20.855</v>
      </c>
      <c r="J68" s="48"/>
    </row>
    <row r="69" spans="1:11" x14ac:dyDescent="0.2">
      <c r="A69" s="129" t="s">
        <v>27</v>
      </c>
      <c r="B69" s="373" t="s">
        <v>67</v>
      </c>
      <c r="C69" s="373"/>
      <c r="D69" s="373"/>
      <c r="E69" s="373"/>
      <c r="F69" s="373"/>
      <c r="G69" s="373"/>
      <c r="H69" s="19">
        <f>H46*H68</f>
        <v>6.947140000000001E-3</v>
      </c>
      <c r="I69" s="5">
        <f>$I$28*H69</f>
        <v>7.468175500000001</v>
      </c>
      <c r="J69" s="48"/>
    </row>
    <row r="70" spans="1:11" x14ac:dyDescent="0.2">
      <c r="A70" s="129" t="s">
        <v>29</v>
      </c>
      <c r="B70" s="373" t="s">
        <v>68</v>
      </c>
      <c r="C70" s="373"/>
      <c r="D70" s="373"/>
      <c r="E70" s="373"/>
      <c r="F70" s="373"/>
      <c r="G70" s="373"/>
      <c r="H70" s="54">
        <v>2.1999999999999999E-2</v>
      </c>
      <c r="I70" s="5">
        <f>$I$28*H70</f>
        <v>23.65</v>
      </c>
      <c r="J70" s="48"/>
      <c r="K70" s="20"/>
    </row>
    <row r="71" spans="1:11" x14ac:dyDescent="0.2">
      <c r="A71" s="389" t="s">
        <v>69</v>
      </c>
      <c r="B71" s="389"/>
      <c r="C71" s="389"/>
      <c r="D71" s="389"/>
      <c r="E71" s="389"/>
      <c r="F71" s="389"/>
      <c r="G71" s="389"/>
      <c r="H71" s="12">
        <f>TRUNC(SUM(H65:H70),4)</f>
        <v>6.2799999999999995E-2</v>
      </c>
      <c r="I71" s="13">
        <f>(SUM(I65:I70))</f>
        <v>67.599375500000008</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129" t="s">
        <v>21</v>
      </c>
      <c r="I74" s="129" t="s">
        <v>22</v>
      </c>
      <c r="J74" s="48"/>
    </row>
    <row r="75" spans="1:11" x14ac:dyDescent="0.2">
      <c r="A75" s="129" t="s">
        <v>1</v>
      </c>
      <c r="B75" s="373" t="s">
        <v>186</v>
      </c>
      <c r="C75" s="373"/>
      <c r="D75" s="373"/>
      <c r="E75" s="373"/>
      <c r="F75" s="373"/>
      <c r="G75" s="373"/>
      <c r="H75" s="148">
        <v>8.3299999999999999E-2</v>
      </c>
      <c r="I75" s="5">
        <f t="shared" ref="I75:I80" si="1">$I$28*H75</f>
        <v>89.547499999999999</v>
      </c>
      <c r="J75" s="48"/>
    </row>
    <row r="76" spans="1:11" x14ac:dyDescent="0.2">
      <c r="A76" s="129" t="s">
        <v>3</v>
      </c>
      <c r="B76" s="373" t="s">
        <v>187</v>
      </c>
      <c r="C76" s="373"/>
      <c r="D76" s="373"/>
      <c r="E76" s="373"/>
      <c r="F76" s="373"/>
      <c r="G76" s="373"/>
      <c r="H76" s="148">
        <v>2.8E-3</v>
      </c>
      <c r="I76" s="16">
        <f t="shared" si="1"/>
        <v>3.01</v>
      </c>
      <c r="J76" s="48"/>
    </row>
    <row r="77" spans="1:11" x14ac:dyDescent="0.2">
      <c r="A77" s="129" t="s">
        <v>5</v>
      </c>
      <c r="B77" s="373" t="s">
        <v>188</v>
      </c>
      <c r="C77" s="373"/>
      <c r="D77" s="373"/>
      <c r="E77" s="373"/>
      <c r="F77" s="373"/>
      <c r="G77" s="373"/>
      <c r="H77" s="17">
        <v>2.0000000000000001E-4</v>
      </c>
      <c r="I77" s="16">
        <f t="shared" si="1"/>
        <v>0.215</v>
      </c>
      <c r="J77" s="48"/>
    </row>
    <row r="78" spans="1:11" x14ac:dyDescent="0.2">
      <c r="A78" s="129" t="s">
        <v>7</v>
      </c>
      <c r="B78" s="373" t="s">
        <v>189</v>
      </c>
      <c r="C78" s="373"/>
      <c r="D78" s="373"/>
      <c r="E78" s="373"/>
      <c r="F78" s="373"/>
      <c r="G78" s="373"/>
      <c r="H78" s="148">
        <v>2.9999999999999997E-4</v>
      </c>
      <c r="I78" s="16">
        <f t="shared" si="1"/>
        <v>0.32249999999999995</v>
      </c>
      <c r="J78" s="48"/>
    </row>
    <row r="79" spans="1:11" x14ac:dyDescent="0.2">
      <c r="A79" s="129" t="s">
        <v>27</v>
      </c>
      <c r="B79" s="373" t="s">
        <v>190</v>
      </c>
      <c r="C79" s="373"/>
      <c r="D79" s="373"/>
      <c r="E79" s="373"/>
      <c r="F79" s="373"/>
      <c r="G79" s="373"/>
      <c r="H79" s="17">
        <v>6.9999999999999999E-4</v>
      </c>
      <c r="I79" s="16">
        <f t="shared" si="1"/>
        <v>0.75249999999999995</v>
      </c>
      <c r="J79" s="48"/>
    </row>
    <row r="80" spans="1:11" x14ac:dyDescent="0.2">
      <c r="A80" s="129"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93.847500000000011</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129" t="s">
        <v>21</v>
      </c>
      <c r="I83" s="129" t="s">
        <v>22</v>
      </c>
      <c r="J83" s="48"/>
    </row>
    <row r="84" spans="1:10" x14ac:dyDescent="0.2">
      <c r="A84" s="129"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129" t="s">
        <v>22</v>
      </c>
      <c r="J88" s="48"/>
    </row>
    <row r="89" spans="1:10" x14ac:dyDescent="0.2">
      <c r="A89" s="129" t="s">
        <v>77</v>
      </c>
      <c r="B89" s="370" t="s">
        <v>193</v>
      </c>
      <c r="C89" s="370"/>
      <c r="D89" s="370"/>
      <c r="E89" s="370"/>
      <c r="F89" s="370"/>
      <c r="G89" s="370"/>
      <c r="H89" s="370"/>
      <c r="I89" s="16">
        <f>I81</f>
        <v>93.847500000000011</v>
      </c>
      <c r="J89" s="48"/>
    </row>
    <row r="90" spans="1:10" x14ac:dyDescent="0.2">
      <c r="A90" s="129" t="s">
        <v>78</v>
      </c>
      <c r="B90" s="370" t="s">
        <v>194</v>
      </c>
      <c r="C90" s="370"/>
      <c r="D90" s="370"/>
      <c r="E90" s="370"/>
      <c r="F90" s="370"/>
      <c r="G90" s="370"/>
      <c r="H90" s="370"/>
      <c r="I90" s="16">
        <f>I85</f>
        <v>0</v>
      </c>
      <c r="J90" s="48"/>
    </row>
    <row r="91" spans="1:10" x14ac:dyDescent="0.2">
      <c r="A91" s="129" t="s">
        <v>46</v>
      </c>
      <c r="B91" s="370" t="s">
        <v>195</v>
      </c>
      <c r="C91" s="370"/>
      <c r="D91" s="370"/>
      <c r="E91" s="370"/>
      <c r="F91" s="370"/>
      <c r="G91" s="370"/>
      <c r="H91" s="370"/>
      <c r="I91" s="16">
        <f>(H81*H46)*I89</f>
        <v>2.9338727451750009</v>
      </c>
      <c r="J91" s="48"/>
    </row>
    <row r="92" spans="1:10" x14ac:dyDescent="0.2">
      <c r="A92" s="389" t="s">
        <v>79</v>
      </c>
      <c r="B92" s="389"/>
      <c r="C92" s="389"/>
      <c r="D92" s="389"/>
      <c r="E92" s="389"/>
      <c r="F92" s="389"/>
      <c r="G92" s="389"/>
      <c r="H92" s="389"/>
      <c r="I92" s="13">
        <f>(SUM(I89:I90))</f>
        <v>93.847500000000011</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129">
        <v>5</v>
      </c>
      <c r="B95" s="389" t="s">
        <v>81</v>
      </c>
      <c r="C95" s="389"/>
      <c r="D95" s="389"/>
      <c r="E95" s="389"/>
      <c r="F95" s="389"/>
      <c r="G95" s="389"/>
      <c r="H95" s="129"/>
      <c r="I95" s="129" t="s">
        <v>22</v>
      </c>
      <c r="J95" s="48"/>
    </row>
    <row r="96" spans="1:10" x14ac:dyDescent="0.2">
      <c r="A96" s="129" t="s">
        <v>1</v>
      </c>
      <c r="B96" s="393" t="s">
        <v>82</v>
      </c>
      <c r="C96" s="393"/>
      <c r="D96" s="393"/>
      <c r="E96" s="393"/>
      <c r="F96" s="393"/>
      <c r="G96" s="393"/>
      <c r="H96" s="128" t="s">
        <v>50</v>
      </c>
      <c r="I96" s="66">
        <f>UNIFORME!F10</f>
        <v>28.666666666666668</v>
      </c>
      <c r="J96" s="48"/>
    </row>
    <row r="97" spans="1:13" x14ac:dyDescent="0.2">
      <c r="A97" s="129" t="s">
        <v>3</v>
      </c>
      <c r="B97" s="393" t="s">
        <v>83</v>
      </c>
      <c r="C97" s="393"/>
      <c r="D97" s="393"/>
      <c r="E97" s="393"/>
      <c r="F97" s="393"/>
      <c r="G97" s="393"/>
      <c r="H97" s="128" t="s">
        <v>50</v>
      </c>
      <c r="I97" s="16">
        <f>MATERIAL!H104</f>
        <v>1296.4523297491039</v>
      </c>
      <c r="J97" s="48"/>
    </row>
    <row r="98" spans="1:13" x14ac:dyDescent="0.2">
      <c r="A98" s="21" t="s">
        <v>5</v>
      </c>
      <c r="B98" s="393" t="s">
        <v>84</v>
      </c>
      <c r="C98" s="393"/>
      <c r="D98" s="393"/>
      <c r="E98" s="393"/>
      <c r="F98" s="393"/>
      <c r="G98" s="393"/>
      <c r="H98" s="128" t="s">
        <v>50</v>
      </c>
      <c r="I98" s="16">
        <f>MATERIAL!I123</f>
        <v>30.513888888888889</v>
      </c>
      <c r="J98" s="48"/>
    </row>
    <row r="99" spans="1:13" x14ac:dyDescent="0.2">
      <c r="A99" s="21" t="s">
        <v>7</v>
      </c>
      <c r="B99" s="393" t="s">
        <v>435</v>
      </c>
      <c r="C99" s="393"/>
      <c r="D99" s="393"/>
      <c r="E99" s="393"/>
      <c r="F99" s="393"/>
      <c r="G99" s="393"/>
      <c r="H99" s="128" t="s">
        <v>50</v>
      </c>
      <c r="I99" s="16">
        <f>MATERIAL!H59</f>
        <v>20.76595744680851</v>
      </c>
      <c r="J99" s="48"/>
    </row>
    <row r="100" spans="1:13" x14ac:dyDescent="0.2">
      <c r="A100" s="389" t="s">
        <v>85</v>
      </c>
      <c r="B100" s="389"/>
      <c r="C100" s="389"/>
      <c r="D100" s="389"/>
      <c r="E100" s="389"/>
      <c r="F100" s="389"/>
      <c r="G100" s="389"/>
      <c r="H100" s="12" t="s">
        <v>50</v>
      </c>
      <c r="I100" s="13">
        <f>(SUM(I96:I99))</f>
        <v>1376.398842751468</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129">
        <v>6</v>
      </c>
      <c r="B103" s="389" t="s">
        <v>87</v>
      </c>
      <c r="C103" s="389"/>
      <c r="D103" s="389"/>
      <c r="E103" s="389"/>
      <c r="F103" s="389"/>
      <c r="G103" s="389"/>
      <c r="H103" s="129" t="s">
        <v>21</v>
      </c>
      <c r="I103" s="129" t="s">
        <v>22</v>
      </c>
      <c r="J103" s="48"/>
      <c r="K103" s="52">
        <f>'ANEXO VII'!M57</f>
        <v>197.15170301310718</v>
      </c>
    </row>
    <row r="104" spans="1:13" x14ac:dyDescent="0.2">
      <c r="A104" s="129" t="s">
        <v>1</v>
      </c>
      <c r="B104" s="373" t="s">
        <v>88</v>
      </c>
      <c r="C104" s="373"/>
      <c r="D104" s="373"/>
      <c r="E104" s="373"/>
      <c r="F104" s="373"/>
      <c r="G104" s="373"/>
      <c r="H104" s="22">
        <v>5.21E-2</v>
      </c>
      <c r="I104" s="16">
        <f>I120*H104</f>
        <v>187.48208426772646</v>
      </c>
      <c r="J104" s="48"/>
      <c r="M104" s="52"/>
    </row>
    <row r="105" spans="1:13" x14ac:dyDescent="0.2">
      <c r="A105" s="129" t="s">
        <v>3</v>
      </c>
      <c r="B105" s="373" t="s">
        <v>89</v>
      </c>
      <c r="C105" s="373"/>
      <c r="D105" s="373"/>
      <c r="E105" s="373"/>
      <c r="F105" s="373"/>
      <c r="G105" s="373"/>
      <c r="H105" s="22">
        <v>0.05</v>
      </c>
      <c r="I105" s="16">
        <f>(I120+I104)*H105</f>
        <v>189.29932903845972</v>
      </c>
      <c r="J105" s="48"/>
    </row>
    <row r="106" spans="1:13" x14ac:dyDescent="0.2">
      <c r="A106" s="129" t="s">
        <v>5</v>
      </c>
      <c r="B106" s="392" t="s">
        <v>90</v>
      </c>
      <c r="C106" s="392"/>
      <c r="D106" s="392"/>
      <c r="E106" s="392"/>
      <c r="F106" s="392"/>
      <c r="G106" s="392"/>
      <c r="H106" s="23">
        <f>H107+H108+H109</f>
        <v>8.6499999999999994E-2</v>
      </c>
      <c r="I106" s="24"/>
      <c r="J106" s="48"/>
    </row>
    <row r="107" spans="1:13" x14ac:dyDescent="0.2">
      <c r="A107" s="129" t="s">
        <v>91</v>
      </c>
      <c r="B107" s="373" t="s">
        <v>92</v>
      </c>
      <c r="C107" s="373"/>
      <c r="D107" s="373"/>
      <c r="E107" s="373"/>
      <c r="F107" s="373"/>
      <c r="G107" s="373"/>
      <c r="H107" s="25">
        <v>6.4999999999999997E-3</v>
      </c>
      <c r="I107" s="16">
        <f>K110*H107</f>
        <v>28.286106637930761</v>
      </c>
      <c r="J107" s="48"/>
      <c r="K107" s="65">
        <f>1-H106</f>
        <v>0.91349999999999998</v>
      </c>
    </row>
    <row r="108" spans="1:13" x14ac:dyDescent="0.2">
      <c r="A108" s="129" t="s">
        <v>93</v>
      </c>
      <c r="B108" s="373" t="s">
        <v>94</v>
      </c>
      <c r="C108" s="373"/>
      <c r="D108" s="373"/>
      <c r="E108" s="373"/>
      <c r="F108" s="373"/>
      <c r="G108" s="373"/>
      <c r="H108" s="25">
        <v>0.03</v>
      </c>
      <c r="I108" s="16">
        <f>K110*H108</f>
        <v>130.55126140583428</v>
      </c>
      <c r="J108" s="48"/>
      <c r="K108" s="45">
        <f>K107/1</f>
        <v>0.91349999999999998</v>
      </c>
    </row>
    <row r="109" spans="1:13" x14ac:dyDescent="0.2">
      <c r="A109" s="129" t="s">
        <v>95</v>
      </c>
      <c r="B109" s="373" t="s">
        <v>96</v>
      </c>
      <c r="C109" s="373"/>
      <c r="D109" s="373"/>
      <c r="E109" s="373"/>
      <c r="F109" s="373"/>
      <c r="G109" s="373"/>
      <c r="H109" s="26">
        <v>0.05</v>
      </c>
      <c r="I109" s="16">
        <f>K110*H109</f>
        <v>217.58543567639049</v>
      </c>
      <c r="J109" s="48"/>
      <c r="K109" s="20">
        <f>I120+I104+I105</f>
        <v>3975.2859098076538</v>
      </c>
    </row>
    <row r="110" spans="1:13" x14ac:dyDescent="0.2">
      <c r="A110" s="389" t="s">
        <v>97</v>
      </c>
      <c r="B110" s="389"/>
      <c r="C110" s="389"/>
      <c r="D110" s="389"/>
      <c r="E110" s="389"/>
      <c r="F110" s="389"/>
      <c r="G110" s="389"/>
      <c r="H110" s="25">
        <f>SUM(H104+H105+H106)</f>
        <v>0.18859999999999999</v>
      </c>
      <c r="I110" s="13">
        <f>(SUM(I104:I109))</f>
        <v>753.20421702634167</v>
      </c>
      <c r="J110" s="48"/>
      <c r="K110" s="20">
        <f>K109/K108</f>
        <v>4351.7087135278098</v>
      </c>
    </row>
    <row r="111" spans="1:13" x14ac:dyDescent="0.2">
      <c r="A111" s="131"/>
      <c r="B111" s="390"/>
      <c r="C111" s="390"/>
      <c r="D111" s="390"/>
      <c r="E111" s="390"/>
      <c r="F111" s="390"/>
      <c r="G111" s="390"/>
      <c r="H111" s="390"/>
      <c r="I111" s="390"/>
    </row>
    <row r="112" spans="1:13" x14ac:dyDescent="0.2">
      <c r="A112" s="131"/>
      <c r="B112" s="131"/>
      <c r="C112" s="131"/>
      <c r="D112" s="131"/>
      <c r="E112" s="131"/>
      <c r="F112" s="131"/>
      <c r="G112" s="131"/>
      <c r="H112" s="131"/>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129" t="s">
        <v>22</v>
      </c>
    </row>
    <row r="115" spans="1:12" x14ac:dyDescent="0.2">
      <c r="A115" s="128" t="s">
        <v>1</v>
      </c>
      <c r="B115" s="373" t="str">
        <f>A19</f>
        <v>MÓDULO 1 - COMPOSIÇÃO DA REMUNERAÇÃO</v>
      </c>
      <c r="C115" s="373"/>
      <c r="D115" s="373"/>
      <c r="E115" s="373"/>
      <c r="F115" s="373"/>
      <c r="G115" s="373"/>
      <c r="H115" s="373"/>
      <c r="I115" s="16">
        <f>I28</f>
        <v>1075</v>
      </c>
      <c r="K115" s="20"/>
      <c r="L115" s="53"/>
    </row>
    <row r="116" spans="1:12" x14ac:dyDescent="0.2">
      <c r="A116" s="128" t="s">
        <v>3</v>
      </c>
      <c r="B116" s="373" t="str">
        <f>A30</f>
        <v>MÓDULO 2 – ENCARGOS E BENEFÍCIOS ANUAIS, MENSAIS E DIÁRIOS</v>
      </c>
      <c r="C116" s="373"/>
      <c r="D116" s="373"/>
      <c r="E116" s="373"/>
      <c r="F116" s="373"/>
      <c r="G116" s="373"/>
      <c r="H116" s="373"/>
      <c r="I116" s="16">
        <f>I61</f>
        <v>985.65877824999995</v>
      </c>
    </row>
    <row r="117" spans="1:12" x14ac:dyDescent="0.2">
      <c r="A117" s="128" t="s">
        <v>5</v>
      </c>
      <c r="B117" s="373" t="str">
        <f>A63</f>
        <v>MÓDULO 3 – PROVISÃO PARA RESCISÃO</v>
      </c>
      <c r="C117" s="373"/>
      <c r="D117" s="373"/>
      <c r="E117" s="373"/>
      <c r="F117" s="373"/>
      <c r="G117" s="373"/>
      <c r="H117" s="373"/>
      <c r="I117" s="16">
        <f>I71</f>
        <v>67.599375500000008</v>
      </c>
    </row>
    <row r="118" spans="1:12" x14ac:dyDescent="0.2">
      <c r="A118" s="128" t="s">
        <v>7</v>
      </c>
      <c r="B118" s="373" t="str">
        <f>A73</f>
        <v>MÓDULO 4 – CUSTO DE REPOSIÇÃO DO PROFISSIONAL AUSENTE</v>
      </c>
      <c r="C118" s="373"/>
      <c r="D118" s="373"/>
      <c r="E118" s="373"/>
      <c r="F118" s="373"/>
      <c r="G118" s="373"/>
      <c r="H118" s="373"/>
      <c r="I118" s="16">
        <f>I92</f>
        <v>93.847500000000011</v>
      </c>
    </row>
    <row r="119" spans="1:12" x14ac:dyDescent="0.2">
      <c r="A119" s="128" t="s">
        <v>27</v>
      </c>
      <c r="B119" s="373" t="str">
        <f>A94</f>
        <v>MÓDULO 5 – INSUMOS DIVERSOS</v>
      </c>
      <c r="C119" s="373"/>
      <c r="D119" s="373"/>
      <c r="E119" s="373"/>
      <c r="F119" s="373"/>
      <c r="G119" s="373"/>
      <c r="H119" s="373"/>
      <c r="I119" s="16">
        <f>I100</f>
        <v>1376.398842751468</v>
      </c>
    </row>
    <row r="120" spans="1:12" x14ac:dyDescent="0.2">
      <c r="A120" s="129"/>
      <c r="B120" s="389" t="s">
        <v>100</v>
      </c>
      <c r="C120" s="389"/>
      <c r="D120" s="389"/>
      <c r="E120" s="389"/>
      <c r="F120" s="389"/>
      <c r="G120" s="389"/>
      <c r="H120" s="389"/>
      <c r="I120" s="13">
        <f>(SUM(I115:I119))</f>
        <v>3598.5044965014677</v>
      </c>
    </row>
    <row r="121" spans="1:12" x14ac:dyDescent="0.2">
      <c r="A121" s="128" t="s">
        <v>29</v>
      </c>
      <c r="B121" s="373" t="str">
        <f>A102</f>
        <v>MÓDULO 6 – CUSTOS INDIRETOS, TRIBUTOS E LUCRO</v>
      </c>
      <c r="C121" s="373"/>
      <c r="D121" s="373"/>
      <c r="E121" s="373"/>
      <c r="F121" s="373"/>
      <c r="G121" s="373"/>
      <c r="H121" s="373"/>
      <c r="I121" s="5">
        <f>I110</f>
        <v>753.20421702634167</v>
      </c>
    </row>
    <row r="122" spans="1:12" x14ac:dyDescent="0.2">
      <c r="A122" s="389" t="s">
        <v>101</v>
      </c>
      <c r="B122" s="389"/>
      <c r="C122" s="389"/>
      <c r="D122" s="389"/>
      <c r="E122" s="389"/>
      <c r="F122" s="389"/>
      <c r="G122" s="389"/>
      <c r="H122" s="389"/>
      <c r="I122" s="13">
        <f>(SUM(I120:I121))</f>
        <v>4351.7087135278089</v>
      </c>
      <c r="K122" s="51"/>
    </row>
    <row r="123" spans="1:12" x14ac:dyDescent="0.2">
      <c r="I123" s="20"/>
      <c r="K123" s="51"/>
    </row>
    <row r="124" spans="1:12" hidden="1" x14ac:dyDescent="0.2">
      <c r="A124" s="131"/>
      <c r="B124" s="379" t="s">
        <v>102</v>
      </c>
      <c r="C124" s="379"/>
      <c r="D124" s="379"/>
      <c r="E124" s="379"/>
      <c r="F124" s="379"/>
      <c r="G124" s="379"/>
      <c r="H124" s="8"/>
      <c r="I124" s="8"/>
      <c r="K124" s="51"/>
    </row>
    <row r="125" spans="1:12" ht="40.5" hidden="1" customHeight="1" x14ac:dyDescent="0.2">
      <c r="A125" s="385" t="s">
        <v>103</v>
      </c>
      <c r="B125" s="385"/>
      <c r="C125" s="385" t="s">
        <v>104</v>
      </c>
      <c r="D125" s="385"/>
      <c r="E125" s="385" t="s">
        <v>105</v>
      </c>
      <c r="F125" s="385"/>
      <c r="G125" s="28" t="s">
        <v>106</v>
      </c>
      <c r="H125" s="132" t="s">
        <v>107</v>
      </c>
      <c r="I125" s="134"/>
      <c r="K125" s="51"/>
    </row>
    <row r="126" spans="1:12" hidden="1" x14ac:dyDescent="0.2">
      <c r="A126" s="386" t="s">
        <v>108</v>
      </c>
      <c r="B126" s="386"/>
      <c r="C126" s="387" t="s">
        <v>109</v>
      </c>
      <c r="D126" s="387"/>
      <c r="E126" s="388"/>
      <c r="F126" s="388"/>
      <c r="G126" s="29" t="s">
        <v>109</v>
      </c>
      <c r="H126" s="30"/>
      <c r="I126" s="31"/>
      <c r="K126" s="51"/>
    </row>
    <row r="127" spans="1:12" hidden="1" x14ac:dyDescent="0.2">
      <c r="A127" s="381" t="s">
        <v>110</v>
      </c>
      <c r="B127" s="381"/>
      <c r="C127" s="382" t="s">
        <v>109</v>
      </c>
      <c r="D127" s="382"/>
      <c r="E127" s="383"/>
      <c r="F127" s="383"/>
      <c r="G127" s="32" t="s">
        <v>109</v>
      </c>
      <c r="H127" s="33"/>
      <c r="I127" s="34"/>
      <c r="K127" s="51"/>
    </row>
    <row r="128" spans="1:12" hidden="1" x14ac:dyDescent="0.2">
      <c r="A128" s="381" t="s">
        <v>111</v>
      </c>
      <c r="B128" s="381"/>
      <c r="C128" s="382" t="s">
        <v>109</v>
      </c>
      <c r="D128" s="382"/>
      <c r="E128" s="383"/>
      <c r="F128" s="383"/>
      <c r="G128" s="32" t="s">
        <v>109</v>
      </c>
      <c r="H128" s="33"/>
      <c r="I128" s="34"/>
      <c r="K128" s="51"/>
    </row>
    <row r="129" spans="1:11" hidden="1" x14ac:dyDescent="0.2">
      <c r="A129" s="381" t="s">
        <v>112</v>
      </c>
      <c r="B129" s="381"/>
      <c r="C129" s="382" t="s">
        <v>109</v>
      </c>
      <c r="D129" s="382"/>
      <c r="E129" s="383"/>
      <c r="F129" s="383"/>
      <c r="G129" s="32" t="s">
        <v>109</v>
      </c>
      <c r="H129" s="33"/>
      <c r="I129" s="34"/>
      <c r="K129" s="51"/>
    </row>
    <row r="130" spans="1:11" hidden="1" x14ac:dyDescent="0.2">
      <c r="A130" s="384"/>
      <c r="B130" s="384"/>
      <c r="C130" s="383"/>
      <c r="D130" s="383"/>
      <c r="E130" s="383"/>
      <c r="F130" s="383"/>
      <c r="G130" s="35"/>
      <c r="H130" s="36"/>
      <c r="I130" s="34"/>
      <c r="K130" s="51"/>
    </row>
    <row r="131" spans="1:11" ht="13.5" hidden="1" thickBot="1" x14ac:dyDescent="0.25">
      <c r="A131" s="376"/>
      <c r="B131" s="376"/>
      <c r="C131" s="377"/>
      <c r="D131" s="377"/>
      <c r="E131" s="377"/>
      <c r="F131" s="377"/>
      <c r="G131" s="37"/>
      <c r="H131" s="38"/>
      <c r="I131" s="39"/>
      <c r="K131" s="51"/>
    </row>
    <row r="132" spans="1:11" ht="13.5" hidden="1" thickBot="1" x14ac:dyDescent="0.25">
      <c r="A132" s="378" t="s">
        <v>113</v>
      </c>
      <c r="B132" s="378"/>
      <c r="C132" s="378"/>
      <c r="D132" s="378"/>
      <c r="E132" s="378"/>
      <c r="F132" s="378"/>
      <c r="G132" s="378"/>
      <c r="H132" s="378"/>
      <c r="I132" s="40"/>
      <c r="K132" s="51"/>
    </row>
    <row r="133" spans="1:11" x14ac:dyDescent="0.2">
      <c r="I133" s="20"/>
    </row>
    <row r="134" spans="1:11" hidden="1" x14ac:dyDescent="0.2">
      <c r="A134" s="131"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133"/>
      <c r="B136" s="371" t="s">
        <v>117</v>
      </c>
      <c r="C136" s="371"/>
      <c r="D136" s="371"/>
      <c r="E136" s="371"/>
      <c r="F136" s="371"/>
      <c r="G136" s="371"/>
      <c r="H136" s="371"/>
      <c r="I136" s="134" t="s">
        <v>22</v>
      </c>
    </row>
    <row r="137" spans="1:11" hidden="1" x14ac:dyDescent="0.2">
      <c r="A137" s="41" t="s">
        <v>1</v>
      </c>
      <c r="B137" s="372" t="s">
        <v>118</v>
      </c>
      <c r="C137" s="372"/>
      <c r="D137" s="372"/>
      <c r="E137" s="372"/>
      <c r="F137" s="372"/>
      <c r="G137" s="372"/>
      <c r="H137" s="372"/>
      <c r="I137" s="42">
        <f>I107</f>
        <v>28.286106637930761</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753.20421702634167</v>
      </c>
    </row>
    <row r="140" spans="1:11" ht="13.5" hidden="1" thickBot="1" x14ac:dyDescent="0.25">
      <c r="A140" s="375" t="s">
        <v>121</v>
      </c>
      <c r="B140" s="375"/>
      <c r="C140" s="375"/>
      <c r="D140" s="375"/>
      <c r="E140" s="375"/>
      <c r="F140" s="375"/>
      <c r="G140" s="375"/>
      <c r="H140" s="375"/>
      <c r="I140" s="40" t="e">
        <f>SUM(I137:I139)</f>
        <v>#REF!</v>
      </c>
    </row>
    <row r="141" spans="1:11" hidden="1" x14ac:dyDescent="0.2">
      <c r="A141" s="131" t="s">
        <v>122</v>
      </c>
      <c r="B141" s="45" t="s">
        <v>123</v>
      </c>
    </row>
    <row r="143" spans="1:11" ht="15.75" thickBot="1" x14ac:dyDescent="0.25">
      <c r="A143" s="195" t="s">
        <v>242</v>
      </c>
      <c r="B143" s="195"/>
      <c r="C143" s="195"/>
      <c r="D143" s="195"/>
      <c r="E143" s="195"/>
      <c r="F143" s="195"/>
      <c r="G143" s="195"/>
      <c r="H143" s="195"/>
    </row>
    <row r="144" spans="1:11" ht="15" x14ac:dyDescent="0.2">
      <c r="A144" s="419" t="s">
        <v>243</v>
      </c>
      <c r="B144" s="420"/>
      <c r="C144" s="421"/>
      <c r="D144" s="196" t="s">
        <v>244</v>
      </c>
      <c r="E144" s="419" t="s">
        <v>245</v>
      </c>
      <c r="F144" s="421"/>
      <c r="G144" s="419" t="s">
        <v>246</v>
      </c>
      <c r="H144" s="421"/>
    </row>
    <row r="145" spans="1:8" ht="15.75" thickBot="1" x14ac:dyDescent="0.25">
      <c r="A145" s="197"/>
      <c r="B145" s="198"/>
      <c r="C145" s="199"/>
      <c r="D145" s="200" t="s">
        <v>247</v>
      </c>
      <c r="E145" s="422" t="s">
        <v>248</v>
      </c>
      <c r="F145" s="423"/>
      <c r="G145" s="422" t="s">
        <v>249</v>
      </c>
      <c r="H145" s="423"/>
    </row>
    <row r="146" spans="1:8" ht="15.75" thickBot="1" x14ac:dyDescent="0.25">
      <c r="A146" s="201" t="s">
        <v>134</v>
      </c>
      <c r="B146" s="202"/>
      <c r="C146" s="202"/>
      <c r="D146" s="203">
        <f>1/(30*2250)</f>
        <v>1.4814814814814815E-5</v>
      </c>
      <c r="E146" s="424">
        <v>0</v>
      </c>
      <c r="F146" s="425"/>
      <c r="G146" s="426">
        <f>D146*E146</f>
        <v>0</v>
      </c>
      <c r="H146" s="427"/>
    </row>
    <row r="147" spans="1:8" ht="15.75" thickBot="1" x14ac:dyDescent="0.25">
      <c r="A147" s="204" t="s">
        <v>140</v>
      </c>
      <c r="B147" s="205"/>
      <c r="C147" s="205"/>
      <c r="D147" s="206">
        <f>1/2250</f>
        <v>4.4444444444444447E-4</v>
      </c>
      <c r="E147" s="428">
        <f>I122</f>
        <v>4351.7087135278089</v>
      </c>
      <c r="F147" s="418"/>
      <c r="G147" s="426">
        <f>D147*E147</f>
        <v>1.9340927615679151</v>
      </c>
      <c r="H147" s="427"/>
    </row>
    <row r="148" spans="1:8" ht="15.75" thickBot="1" x14ac:dyDescent="0.25">
      <c r="A148" s="417" t="s">
        <v>250</v>
      </c>
      <c r="B148" s="418"/>
      <c r="C148" s="418"/>
      <c r="D148" s="418"/>
      <c r="E148" s="418"/>
      <c r="F148" s="418"/>
      <c r="G148" s="204"/>
      <c r="H148" s="207">
        <f>SUM(G146:H147)</f>
        <v>1.9340927615679151</v>
      </c>
    </row>
  </sheetData>
  <mergeCells count="181">
    <mergeCell ref="A148:F148"/>
    <mergeCell ref="E145:F145"/>
    <mergeCell ref="G145:H145"/>
    <mergeCell ref="E146:F146"/>
    <mergeCell ref="G146:H146"/>
    <mergeCell ref="E147:F147"/>
    <mergeCell ref="G147:H147"/>
    <mergeCell ref="B136:H136"/>
    <mergeCell ref="B137:H137"/>
    <mergeCell ref="B138:H138"/>
    <mergeCell ref="B139:H139"/>
    <mergeCell ref="A140:H140"/>
    <mergeCell ref="A144:C144"/>
    <mergeCell ref="E144:F144"/>
    <mergeCell ref="G144:H144"/>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B117:H117"/>
    <mergeCell ref="B118:H118"/>
    <mergeCell ref="B119:H119"/>
    <mergeCell ref="B120:H120"/>
    <mergeCell ref="B121:H121"/>
    <mergeCell ref="A122:H122"/>
    <mergeCell ref="A110:G110"/>
    <mergeCell ref="B111:I111"/>
    <mergeCell ref="A113:I113"/>
    <mergeCell ref="A114:H114"/>
    <mergeCell ref="B115:H115"/>
    <mergeCell ref="B116:H116"/>
    <mergeCell ref="B104:G104"/>
    <mergeCell ref="B105:G105"/>
    <mergeCell ref="B106:G106"/>
    <mergeCell ref="B107:G107"/>
    <mergeCell ref="B108:G108"/>
    <mergeCell ref="B109:G109"/>
    <mergeCell ref="B98:G98"/>
    <mergeCell ref="B99:G99"/>
    <mergeCell ref="A100:G100"/>
    <mergeCell ref="A101:I101"/>
    <mergeCell ref="A102:I102"/>
    <mergeCell ref="B103:G103"/>
    <mergeCell ref="A92:H92"/>
    <mergeCell ref="A93:I93"/>
    <mergeCell ref="A94:I94"/>
    <mergeCell ref="B95:G95"/>
    <mergeCell ref="B96:G96"/>
    <mergeCell ref="B97:G97"/>
    <mergeCell ref="A86:I86"/>
    <mergeCell ref="A87:I87"/>
    <mergeCell ref="A88:H88"/>
    <mergeCell ref="B89:H89"/>
    <mergeCell ref="B90:H90"/>
    <mergeCell ref="B91:H91"/>
    <mergeCell ref="B80:G80"/>
    <mergeCell ref="A81:G81"/>
    <mergeCell ref="A82:I82"/>
    <mergeCell ref="A83:G83"/>
    <mergeCell ref="B84:G84"/>
    <mergeCell ref="A85:G85"/>
    <mergeCell ref="A74:G74"/>
    <mergeCell ref="B75:G75"/>
    <mergeCell ref="B76:G76"/>
    <mergeCell ref="B77:G77"/>
    <mergeCell ref="B78:G78"/>
    <mergeCell ref="B79:G79"/>
    <mergeCell ref="B68:G68"/>
    <mergeCell ref="B69:G69"/>
    <mergeCell ref="B70:G70"/>
    <mergeCell ref="A71:G71"/>
    <mergeCell ref="A72:I72"/>
    <mergeCell ref="A73:I73"/>
    <mergeCell ref="A62:I62"/>
    <mergeCell ref="A63:I63"/>
    <mergeCell ref="B64:G64"/>
    <mergeCell ref="B65:G65"/>
    <mergeCell ref="B66:G66"/>
    <mergeCell ref="B67:G67"/>
    <mergeCell ref="B58:H58"/>
    <mergeCell ref="B59:H59"/>
    <mergeCell ref="B60:H60"/>
    <mergeCell ref="A61:H61"/>
    <mergeCell ref="B50:G50"/>
    <mergeCell ref="B51:G51"/>
    <mergeCell ref="B52:G52"/>
    <mergeCell ref="B53:G53"/>
    <mergeCell ref="A54:H54"/>
    <mergeCell ref="A55:I55"/>
    <mergeCell ref="A46:G46"/>
    <mergeCell ref="A47:I47"/>
    <mergeCell ref="A48:G48"/>
    <mergeCell ref="B49:G49"/>
    <mergeCell ref="A35:G35"/>
    <mergeCell ref="A36:I36"/>
    <mergeCell ref="A37:G37"/>
    <mergeCell ref="A56:I56"/>
    <mergeCell ref="A57:H57"/>
    <mergeCell ref="K37:K45"/>
    <mergeCell ref="B38:G38"/>
    <mergeCell ref="B39:G39"/>
    <mergeCell ref="B40:G40"/>
    <mergeCell ref="B41:G41"/>
    <mergeCell ref="B42:G42"/>
    <mergeCell ref="B43:G43"/>
    <mergeCell ref="A28:H28"/>
    <mergeCell ref="A30:I30"/>
    <mergeCell ref="A31:G31"/>
    <mergeCell ref="B32:G32"/>
    <mergeCell ref="B33:G33"/>
    <mergeCell ref="B34:G34"/>
    <mergeCell ref="B44:G44"/>
    <mergeCell ref="B45:G45"/>
    <mergeCell ref="B22:G22"/>
    <mergeCell ref="B23:G23"/>
    <mergeCell ref="B24:G24"/>
    <mergeCell ref="B25:G25"/>
    <mergeCell ref="B26:G26"/>
    <mergeCell ref="B27:G27"/>
    <mergeCell ref="B16:H16"/>
    <mergeCell ref="B17:H17"/>
    <mergeCell ref="A18:I18"/>
    <mergeCell ref="A19:I19"/>
    <mergeCell ref="B20:G20"/>
    <mergeCell ref="B21:G21"/>
    <mergeCell ref="A12:I12"/>
    <mergeCell ref="L12:Q12"/>
    <mergeCell ref="R12:S12"/>
    <mergeCell ref="B13:H13"/>
    <mergeCell ref="B14:H14"/>
    <mergeCell ref="B15:H15"/>
    <mergeCell ref="A10:B10"/>
    <mergeCell ref="C10:D10"/>
    <mergeCell ref="E10:I10"/>
    <mergeCell ref="L10:Q10"/>
    <mergeCell ref="R10:S10"/>
    <mergeCell ref="L11:Q11"/>
    <mergeCell ref="R11:S11"/>
    <mergeCell ref="B6:H6"/>
    <mergeCell ref="K6:S6"/>
    <mergeCell ref="K7:S7"/>
    <mergeCell ref="A8:I8"/>
    <mergeCell ref="K8:S8"/>
    <mergeCell ref="A9:B9"/>
    <mergeCell ref="C9:D9"/>
    <mergeCell ref="E9:I9"/>
    <mergeCell ref="L9:Q9"/>
    <mergeCell ref="R9:S9"/>
    <mergeCell ref="B4:H4"/>
    <mergeCell ref="L4:M4"/>
    <mergeCell ref="N4:Q4"/>
    <mergeCell ref="R4:S4"/>
    <mergeCell ref="B5:H5"/>
    <mergeCell ref="K5:S5"/>
    <mergeCell ref="A2:I2"/>
    <mergeCell ref="K2:S2"/>
    <mergeCell ref="B3:H3"/>
    <mergeCell ref="L3:M3"/>
    <mergeCell ref="N3:Q3"/>
    <mergeCell ref="R3:S3"/>
  </mergeCells>
  <pageMargins left="0.25" right="0.25" top="0.75" bottom="0.75" header="0.3" footer="0.3"/>
  <pageSetup paperSize="9" firstPageNumber="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4FA20-8ACB-4615-8FED-F8D6D569AE13}">
  <dimension ref="B3:I48"/>
  <sheetViews>
    <sheetView workbookViewId="0">
      <selection activeCell="F7" sqref="F7"/>
    </sheetView>
  </sheetViews>
  <sheetFormatPr defaultRowHeight="12.75" x14ac:dyDescent="0.2"/>
  <cols>
    <col min="2" max="2" width="29" bestFit="1" customWidth="1"/>
    <col min="4" max="4" width="12.140625" bestFit="1" customWidth="1"/>
    <col min="5" max="5" width="10.5703125" bestFit="1" customWidth="1"/>
    <col min="6" max="6" width="10.28515625" bestFit="1" customWidth="1"/>
    <col min="9" max="9" width="10.28515625" bestFit="1" customWidth="1"/>
  </cols>
  <sheetData>
    <row r="3" spans="2:9" x14ac:dyDescent="0.2">
      <c r="B3" s="475" t="s">
        <v>137</v>
      </c>
      <c r="C3" s="475"/>
      <c r="D3" s="475"/>
      <c r="E3" s="475"/>
      <c r="F3" s="475"/>
    </row>
    <row r="4" spans="2:9" s="85" customFormat="1" ht="38.25" x14ac:dyDescent="0.2">
      <c r="B4" s="96" t="s">
        <v>141</v>
      </c>
      <c r="C4" s="96" t="s">
        <v>142</v>
      </c>
      <c r="D4" s="96" t="s">
        <v>143</v>
      </c>
      <c r="E4" s="96" t="s">
        <v>144</v>
      </c>
      <c r="F4" s="96" t="s">
        <v>145</v>
      </c>
    </row>
    <row r="5" spans="2:9" x14ac:dyDescent="0.2">
      <c r="B5" s="97" t="s">
        <v>140</v>
      </c>
      <c r="C5" s="97">
        <v>4</v>
      </c>
      <c r="D5" s="98">
        <f>'ASG MUTI 01'!$I$122</f>
        <v>2882.1360267935343</v>
      </c>
      <c r="E5" s="98">
        <f>(D5/220*8)*C5</f>
        <v>419.21978571542314</v>
      </c>
      <c r="F5" s="99">
        <f>(13*4)*E5</f>
        <v>21799.428857202005</v>
      </c>
      <c r="I5" s="52"/>
    </row>
    <row r="6" spans="2:9" x14ac:dyDescent="0.2">
      <c r="B6" s="97" t="s">
        <v>130</v>
      </c>
      <c r="C6" s="97">
        <v>1</v>
      </c>
      <c r="D6" s="98">
        <f>MOTORISTA!$I$122</f>
        <v>3853.7230863272925</v>
      </c>
      <c r="E6" s="98">
        <f>(D6/220*8)*1</f>
        <v>140.13538495735608</v>
      </c>
      <c r="F6" s="99">
        <f>(13*4)*E6</f>
        <v>7287.0400177825159</v>
      </c>
    </row>
    <row r="7" spans="2:9" x14ac:dyDescent="0.2">
      <c r="B7" s="476" t="s">
        <v>146</v>
      </c>
      <c r="C7" s="477"/>
      <c r="D7" s="477"/>
      <c r="E7" s="478"/>
      <c r="F7" s="99">
        <f>SUM(F5:F6)</f>
        <v>29086.468874984523</v>
      </c>
    </row>
    <row r="8" spans="2:9" x14ac:dyDescent="0.2">
      <c r="B8" s="476" t="s">
        <v>147</v>
      </c>
      <c r="C8" s="477"/>
      <c r="D8" s="477"/>
      <c r="E8" s="477"/>
      <c r="F8" s="478"/>
    </row>
    <row r="9" spans="2:9" s="45" customFormat="1" x14ac:dyDescent="0.2">
      <c r="B9" s="100" t="s">
        <v>141</v>
      </c>
      <c r="C9" s="101" t="s">
        <v>160</v>
      </c>
      <c r="D9" s="101" t="s">
        <v>161</v>
      </c>
      <c r="E9" s="479" t="s">
        <v>145</v>
      </c>
      <c r="F9" s="480"/>
    </row>
    <row r="10" spans="2:9" x14ac:dyDescent="0.2">
      <c r="B10" s="97" t="s">
        <v>148</v>
      </c>
      <c r="C10" s="102">
        <f>129*2</f>
        <v>258</v>
      </c>
      <c r="D10" s="473">
        <f>'KM RODADO'!I122</f>
        <v>3.7440248275862071</v>
      </c>
      <c r="E10" s="471">
        <f>($D$10*C10)*4</f>
        <v>3863.8336220689657</v>
      </c>
      <c r="F10" s="472"/>
    </row>
    <row r="11" spans="2:9" x14ac:dyDescent="0.2">
      <c r="B11" s="97" t="s">
        <v>149</v>
      </c>
      <c r="C11" s="102">
        <f>88*2</f>
        <v>176</v>
      </c>
      <c r="D11" s="474"/>
      <c r="E11" s="471">
        <f t="shared" ref="E11:E20" si="0">($D$10*C11)*4</f>
        <v>2635.7934786206897</v>
      </c>
      <c r="F11" s="472"/>
    </row>
    <row r="12" spans="2:9" x14ac:dyDescent="0.2">
      <c r="B12" s="97" t="s">
        <v>155</v>
      </c>
      <c r="C12" s="102">
        <f>33*2</f>
        <v>66</v>
      </c>
      <c r="D12" s="474"/>
      <c r="E12" s="471">
        <f t="shared" si="0"/>
        <v>988.42255448275864</v>
      </c>
      <c r="F12" s="472"/>
    </row>
    <row r="13" spans="2:9" x14ac:dyDescent="0.2">
      <c r="B13" s="97" t="s">
        <v>150</v>
      </c>
      <c r="C13" s="102">
        <f>205*2</f>
        <v>410</v>
      </c>
      <c r="D13" s="474"/>
      <c r="E13" s="471">
        <f t="shared" si="0"/>
        <v>6140.2007172413796</v>
      </c>
      <c r="F13" s="472"/>
    </row>
    <row r="14" spans="2:9" x14ac:dyDescent="0.2">
      <c r="B14" s="97" t="s">
        <v>156</v>
      </c>
      <c r="C14" s="102">
        <f>134*2</f>
        <v>268</v>
      </c>
      <c r="D14" s="474"/>
      <c r="E14" s="471">
        <f t="shared" si="0"/>
        <v>4013.5946151724143</v>
      </c>
      <c r="F14" s="472"/>
    </row>
    <row r="15" spans="2:9" x14ac:dyDescent="0.2">
      <c r="B15" s="97" t="s">
        <v>151</v>
      </c>
      <c r="C15" s="102">
        <f>232*2</f>
        <v>464</v>
      </c>
      <c r="D15" s="474"/>
      <c r="E15" s="471">
        <f t="shared" si="0"/>
        <v>6948.9100800000006</v>
      </c>
      <c r="F15" s="472"/>
    </row>
    <row r="16" spans="2:9" x14ac:dyDescent="0.2">
      <c r="B16" s="97" t="s">
        <v>157</v>
      </c>
      <c r="C16" s="102">
        <f>75*2</f>
        <v>150</v>
      </c>
      <c r="D16" s="474"/>
      <c r="E16" s="471">
        <f t="shared" si="0"/>
        <v>2246.4148965517243</v>
      </c>
      <c r="F16" s="472"/>
    </row>
    <row r="17" spans="2:6" x14ac:dyDescent="0.2">
      <c r="B17" s="97" t="s">
        <v>152</v>
      </c>
      <c r="C17" s="102">
        <f>166*2</f>
        <v>332</v>
      </c>
      <c r="D17" s="474"/>
      <c r="E17" s="471">
        <f t="shared" si="0"/>
        <v>4972.0649710344833</v>
      </c>
      <c r="F17" s="472"/>
    </row>
    <row r="18" spans="2:6" x14ac:dyDescent="0.2">
      <c r="B18" s="97" t="s">
        <v>153</v>
      </c>
      <c r="C18" s="102">
        <f>269*2</f>
        <v>538</v>
      </c>
      <c r="D18" s="474"/>
      <c r="E18" s="471">
        <f t="shared" si="0"/>
        <v>8057.1414289655177</v>
      </c>
      <c r="F18" s="472"/>
    </row>
    <row r="19" spans="2:6" x14ac:dyDescent="0.2">
      <c r="B19" s="97" t="s">
        <v>154</v>
      </c>
      <c r="C19" s="102">
        <f>29*2</f>
        <v>58</v>
      </c>
      <c r="D19" s="474"/>
      <c r="E19" s="471">
        <f t="shared" si="0"/>
        <v>868.61376000000007</v>
      </c>
      <c r="F19" s="472"/>
    </row>
    <row r="20" spans="2:6" x14ac:dyDescent="0.2">
      <c r="B20" s="97" t="s">
        <v>159</v>
      </c>
      <c r="C20" s="102">
        <f>226*2</f>
        <v>452</v>
      </c>
      <c r="D20" s="474"/>
      <c r="E20" s="471">
        <f t="shared" si="0"/>
        <v>6769.1968882758629</v>
      </c>
      <c r="F20" s="472"/>
    </row>
    <row r="21" spans="2:6" x14ac:dyDescent="0.2">
      <c r="B21" s="97" t="s">
        <v>158</v>
      </c>
      <c r="C21" s="102">
        <f>56*2</f>
        <v>112</v>
      </c>
      <c r="D21" s="474"/>
      <c r="E21" s="471">
        <f>($D$10*C21)*4</f>
        <v>1677.3231227586207</v>
      </c>
      <c r="F21" s="472"/>
    </row>
    <row r="22" spans="2:6" s="45" customFormat="1" x14ac:dyDescent="0.2">
      <c r="B22" s="97" t="s">
        <v>182</v>
      </c>
      <c r="C22" s="102">
        <f>77*2</f>
        <v>154</v>
      </c>
      <c r="D22" s="474"/>
      <c r="E22" s="471">
        <f>($D$10*C22)*4</f>
        <v>2306.3192937931035</v>
      </c>
      <c r="F22" s="472"/>
    </row>
    <row r="23" spans="2:6" x14ac:dyDescent="0.2">
      <c r="B23" s="103"/>
      <c r="C23" s="103"/>
      <c r="D23" s="103"/>
      <c r="E23" s="103"/>
      <c r="F23" s="103"/>
    </row>
    <row r="24" spans="2:6" x14ac:dyDescent="0.2">
      <c r="B24" s="475" t="s">
        <v>162</v>
      </c>
      <c r="C24" s="475"/>
      <c r="D24" s="475"/>
      <c r="E24" s="490">
        <f>F7</f>
        <v>29086.468874984523</v>
      </c>
      <c r="F24" s="490"/>
    </row>
    <row r="25" spans="2:6" x14ac:dyDescent="0.2">
      <c r="B25" s="475"/>
      <c r="C25" s="475"/>
      <c r="D25" s="475"/>
      <c r="E25" s="490"/>
      <c r="F25" s="490"/>
    </row>
    <row r="26" spans="2:6" x14ac:dyDescent="0.2">
      <c r="B26" s="475" t="s">
        <v>163</v>
      </c>
      <c r="C26" s="475"/>
      <c r="D26" s="475"/>
      <c r="E26" s="483">
        <f>SUM(E10:F22)</f>
        <v>51487.829428965517</v>
      </c>
      <c r="F26" s="475"/>
    </row>
    <row r="27" spans="2:6" x14ac:dyDescent="0.2">
      <c r="B27" s="475"/>
      <c r="C27" s="475"/>
      <c r="D27" s="475"/>
      <c r="E27" s="475"/>
      <c r="F27" s="475"/>
    </row>
    <row r="28" spans="2:6" x14ac:dyDescent="0.2">
      <c r="B28" s="475" t="s">
        <v>164</v>
      </c>
      <c r="C28" s="475"/>
      <c r="D28" s="475"/>
      <c r="E28" s="483">
        <f>SUM(E24:F27)</f>
        <v>80574.29830395004</v>
      </c>
      <c r="F28" s="475"/>
    </row>
    <row r="29" spans="2:6" x14ac:dyDescent="0.2">
      <c r="B29" s="475"/>
      <c r="C29" s="475"/>
      <c r="D29" s="475"/>
      <c r="E29" s="475"/>
      <c r="F29" s="475"/>
    </row>
    <row r="34" spans="2:6" x14ac:dyDescent="0.2">
      <c r="B34" s="484" t="s">
        <v>138</v>
      </c>
      <c r="C34" s="484"/>
      <c r="D34" s="484"/>
      <c r="E34" s="484"/>
      <c r="F34" s="484"/>
    </row>
    <row r="35" spans="2:6" ht="38.25" x14ac:dyDescent="0.2">
      <c r="B35" s="86" t="s">
        <v>141</v>
      </c>
      <c r="C35" s="86" t="s">
        <v>142</v>
      </c>
      <c r="D35" s="86" t="s">
        <v>143</v>
      </c>
      <c r="E35" s="86" t="s">
        <v>144</v>
      </c>
      <c r="F35" s="86" t="s">
        <v>145</v>
      </c>
    </row>
    <row r="36" spans="2:6" x14ac:dyDescent="0.2">
      <c r="B36" s="87" t="s">
        <v>140</v>
      </c>
      <c r="C36" s="87">
        <v>4</v>
      </c>
      <c r="D36" s="88">
        <f>'ASG MUTI 01'!$I$122</f>
        <v>2882.1360267935343</v>
      </c>
      <c r="E36" s="88">
        <f>(D36/220*8)*C36</f>
        <v>419.21978571542314</v>
      </c>
      <c r="F36" s="89">
        <f>(12*4)*E36</f>
        <v>20122.549714340312</v>
      </c>
    </row>
    <row r="37" spans="2:6" x14ac:dyDescent="0.2">
      <c r="B37" s="87" t="s">
        <v>130</v>
      </c>
      <c r="C37" s="87">
        <v>1</v>
      </c>
      <c r="D37" s="88">
        <f>MOTORISTA!$I$122</f>
        <v>3853.7230863272925</v>
      </c>
      <c r="E37" s="88">
        <f>(D37/220*8)*1</f>
        <v>140.13538495735608</v>
      </c>
      <c r="F37" s="89">
        <f>(12*4)*E37</f>
        <v>6726.4984779530914</v>
      </c>
    </row>
    <row r="38" spans="2:6" x14ac:dyDescent="0.2">
      <c r="B38" s="485" t="s">
        <v>146</v>
      </c>
      <c r="C38" s="486"/>
      <c r="D38" s="486"/>
      <c r="E38" s="487"/>
      <c r="F38" s="89">
        <f>SUM(F36:F37)</f>
        <v>26849.048192293405</v>
      </c>
    </row>
    <row r="39" spans="2:6" x14ac:dyDescent="0.2">
      <c r="B39" s="485" t="s">
        <v>147</v>
      </c>
      <c r="C39" s="486"/>
      <c r="D39" s="486"/>
      <c r="E39" s="486"/>
      <c r="F39" s="487"/>
    </row>
    <row r="40" spans="2:6" x14ac:dyDescent="0.2">
      <c r="B40" s="90" t="s">
        <v>141</v>
      </c>
      <c r="C40" s="91" t="s">
        <v>160</v>
      </c>
      <c r="D40" s="91" t="s">
        <v>161</v>
      </c>
      <c r="E40" s="488" t="s">
        <v>145</v>
      </c>
      <c r="F40" s="489"/>
    </row>
    <row r="41" spans="2:6" ht="25.5" x14ac:dyDescent="0.2">
      <c r="B41" s="92" t="s">
        <v>167</v>
      </c>
      <c r="C41" s="93">
        <f>150*2</f>
        <v>300</v>
      </c>
      <c r="D41" s="94">
        <f>D10</f>
        <v>3.7440248275862071</v>
      </c>
      <c r="E41" s="481">
        <f>($D$10*C41)*4</f>
        <v>4492.8297931034485</v>
      </c>
      <c r="F41" s="482"/>
    </row>
    <row r="42" spans="2:6" x14ac:dyDescent="0.2">
      <c r="B42" s="95"/>
      <c r="C42" s="95"/>
      <c r="D42" s="95"/>
      <c r="E42" s="95"/>
      <c r="F42" s="95"/>
    </row>
    <row r="43" spans="2:6" x14ac:dyDescent="0.2">
      <c r="B43" s="484" t="s">
        <v>162</v>
      </c>
      <c r="C43" s="484"/>
      <c r="D43" s="484"/>
      <c r="E43" s="492">
        <f>F38</f>
        <v>26849.048192293405</v>
      </c>
      <c r="F43" s="492"/>
    </row>
    <row r="44" spans="2:6" x14ac:dyDescent="0.2">
      <c r="B44" s="484"/>
      <c r="C44" s="484"/>
      <c r="D44" s="484"/>
      <c r="E44" s="492"/>
      <c r="F44" s="492"/>
    </row>
    <row r="45" spans="2:6" x14ac:dyDescent="0.2">
      <c r="B45" s="484" t="s">
        <v>163</v>
      </c>
      <c r="C45" s="484"/>
      <c r="D45" s="484"/>
      <c r="E45" s="491">
        <f>SUM(E41:F41)</f>
        <v>4492.8297931034485</v>
      </c>
      <c r="F45" s="484"/>
    </row>
    <row r="46" spans="2:6" x14ac:dyDescent="0.2">
      <c r="B46" s="484"/>
      <c r="C46" s="484"/>
      <c r="D46" s="484"/>
      <c r="E46" s="484"/>
      <c r="F46" s="484"/>
    </row>
    <row r="47" spans="2:6" x14ac:dyDescent="0.2">
      <c r="B47" s="484" t="s">
        <v>164</v>
      </c>
      <c r="C47" s="484"/>
      <c r="D47" s="484"/>
      <c r="E47" s="491">
        <f>SUM(E43:F46)</f>
        <v>31341.877985396852</v>
      </c>
      <c r="F47" s="484"/>
    </row>
    <row r="48" spans="2:6" x14ac:dyDescent="0.2">
      <c r="B48" s="484"/>
      <c r="C48" s="484"/>
      <c r="D48" s="484"/>
      <c r="E48" s="484"/>
      <c r="F48" s="484"/>
    </row>
  </sheetData>
  <mergeCells count="35">
    <mergeCell ref="B47:D48"/>
    <mergeCell ref="E47:F48"/>
    <mergeCell ref="B43:D44"/>
    <mergeCell ref="E43:F44"/>
    <mergeCell ref="B45:D46"/>
    <mergeCell ref="E45:F46"/>
    <mergeCell ref="B24:D25"/>
    <mergeCell ref="E41:F41"/>
    <mergeCell ref="B28:D29"/>
    <mergeCell ref="E28:F29"/>
    <mergeCell ref="B34:F34"/>
    <mergeCell ref="B38:E38"/>
    <mergeCell ref="B39:F39"/>
    <mergeCell ref="E40:F40"/>
    <mergeCell ref="B26:D27"/>
    <mergeCell ref="E24:F25"/>
    <mergeCell ref="E26:F27"/>
    <mergeCell ref="B3:F3"/>
    <mergeCell ref="B7:E7"/>
    <mergeCell ref="B8:F8"/>
    <mergeCell ref="E14:F14"/>
    <mergeCell ref="E15:F15"/>
    <mergeCell ref="E9:F9"/>
    <mergeCell ref="E10:F10"/>
    <mergeCell ref="E11:F11"/>
    <mergeCell ref="E12:F12"/>
    <mergeCell ref="E13:F13"/>
    <mergeCell ref="E22:F22"/>
    <mergeCell ref="D10:D22"/>
    <mergeCell ref="E19:F19"/>
    <mergeCell ref="E20:F20"/>
    <mergeCell ref="E21:F21"/>
    <mergeCell ref="E16:F16"/>
    <mergeCell ref="E17:F17"/>
    <mergeCell ref="E18:F18"/>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983F0-980A-46A3-82E3-36A9FE47A4A2}">
  <sheetPr>
    <tabColor rgb="FF00B0F0"/>
  </sheetPr>
  <dimension ref="B1:S58"/>
  <sheetViews>
    <sheetView topLeftCell="A37" workbookViewId="0">
      <selection activeCell="L47" sqref="L47"/>
    </sheetView>
  </sheetViews>
  <sheetFormatPr defaultRowHeight="12.75" x14ac:dyDescent="0.2"/>
  <cols>
    <col min="5" max="5" width="12.140625" customWidth="1"/>
    <col min="8" max="11" width="9.140625" style="51"/>
    <col min="12" max="13" width="15.85546875" bestFit="1" customWidth="1"/>
    <col min="17" max="17" width="9.140625" style="45"/>
    <col min="18" max="18" width="12.140625" bestFit="1" customWidth="1"/>
    <col min="19" max="19" width="14.28515625" bestFit="1" customWidth="1"/>
  </cols>
  <sheetData>
    <row r="1" spans="2:19" ht="12.75" customHeight="1" x14ac:dyDescent="0.2">
      <c r="B1" s="493" t="s">
        <v>196</v>
      </c>
      <c r="C1" s="493"/>
      <c r="D1" s="493"/>
      <c r="E1" s="493"/>
      <c r="F1" s="493"/>
      <c r="G1" s="493"/>
      <c r="H1" s="493"/>
      <c r="I1" s="493"/>
      <c r="J1" s="493"/>
      <c r="K1" s="493"/>
    </row>
    <row r="2" spans="2:19" x14ac:dyDescent="0.2">
      <c r="B2" s="493"/>
      <c r="C2" s="493"/>
      <c r="D2" s="493"/>
      <c r="E2" s="493"/>
      <c r="F2" s="493"/>
      <c r="G2" s="493"/>
      <c r="H2" s="493"/>
      <c r="I2" s="493"/>
      <c r="J2" s="493"/>
      <c r="K2" s="493"/>
    </row>
    <row r="3" spans="2:19" x14ac:dyDescent="0.2">
      <c r="B3" s="493"/>
      <c r="C3" s="493"/>
      <c r="D3" s="493"/>
      <c r="E3" s="493"/>
      <c r="F3" s="493"/>
      <c r="G3" s="493"/>
      <c r="H3" s="493"/>
      <c r="I3" s="493"/>
      <c r="J3" s="493"/>
      <c r="K3" s="493"/>
      <c r="O3" s="458" t="s">
        <v>478</v>
      </c>
      <c r="P3" s="458"/>
      <c r="Q3" s="458"/>
      <c r="R3" s="458"/>
      <c r="S3" s="458"/>
    </row>
    <row r="4" spans="2:19" x14ac:dyDescent="0.2">
      <c r="O4" s="458"/>
      <c r="P4" s="458"/>
      <c r="Q4" s="458"/>
      <c r="R4" s="458"/>
      <c r="S4" s="458"/>
    </row>
    <row r="5" spans="2:19" x14ac:dyDescent="0.2">
      <c r="B5" s="441" t="s">
        <v>197</v>
      </c>
      <c r="C5" s="441"/>
      <c r="D5" s="441"/>
      <c r="E5" s="441"/>
      <c r="F5" s="441"/>
      <c r="G5" s="441"/>
      <c r="H5" s="441"/>
      <c r="I5" s="441"/>
      <c r="J5" s="441"/>
      <c r="K5" s="441"/>
    </row>
    <row r="6" spans="2:19" x14ac:dyDescent="0.2">
      <c r="B6" s="494" t="s">
        <v>198</v>
      </c>
      <c r="C6" s="494"/>
      <c r="D6" s="494"/>
      <c r="E6" s="494"/>
      <c r="F6" s="494"/>
      <c r="G6" s="494"/>
      <c r="H6" s="494"/>
      <c r="I6" s="494"/>
      <c r="J6" s="494"/>
      <c r="K6" s="494"/>
      <c r="O6" s="441" t="s">
        <v>202</v>
      </c>
      <c r="P6" s="441"/>
      <c r="Q6" s="363">
        <v>63</v>
      </c>
      <c r="R6" s="350">
        <f>'ASG INT CAPI'!I122</f>
        <v>4351.7087135278089</v>
      </c>
      <c r="S6" s="350">
        <f>R6*Q6</f>
        <v>274157.64895225194</v>
      </c>
    </row>
    <row r="7" spans="2:19" x14ac:dyDescent="0.2">
      <c r="B7" s="441" t="s">
        <v>141</v>
      </c>
      <c r="C7" s="441"/>
      <c r="D7" s="441" t="s">
        <v>199</v>
      </c>
      <c r="E7" s="441"/>
      <c r="F7" s="441" t="s">
        <v>200</v>
      </c>
      <c r="G7" s="441"/>
      <c r="H7" s="495" t="s">
        <v>201</v>
      </c>
      <c r="I7" s="495"/>
      <c r="J7" s="495" t="s">
        <v>145</v>
      </c>
      <c r="K7" s="495"/>
      <c r="O7" s="441" t="s">
        <v>203</v>
      </c>
      <c r="P7" s="441"/>
      <c r="Q7" s="363">
        <v>2</v>
      </c>
      <c r="R7" s="350">
        <f>'ASG EXT CAPI'!I122</f>
        <v>4351.7087135278089</v>
      </c>
      <c r="S7" s="350">
        <f t="shared" ref="S7:S11" si="0">R7*Q7</f>
        <v>8703.4174270556177</v>
      </c>
    </row>
    <row r="8" spans="2:19" x14ac:dyDescent="0.2">
      <c r="B8" s="441" t="s">
        <v>202</v>
      </c>
      <c r="C8" s="441"/>
      <c r="D8" s="441">
        <v>40000</v>
      </c>
      <c r="E8" s="441"/>
      <c r="F8" s="495">
        <f>'ASG INT CAPI'!H149</f>
        <v>4.3517087135278087</v>
      </c>
      <c r="G8" s="495"/>
      <c r="H8" s="495">
        <f t="shared" ref="H8:H13" si="1">F8*D8</f>
        <v>174068.34854111235</v>
      </c>
      <c r="I8" s="495"/>
      <c r="J8" s="495">
        <f>H8*12</f>
        <v>2088820.1824933481</v>
      </c>
      <c r="K8" s="495"/>
      <c r="L8" s="52" t="s">
        <v>489</v>
      </c>
      <c r="M8" s="20">
        <f>'ASG INT CAPI'!I122</f>
        <v>4351.7087135278089</v>
      </c>
      <c r="O8" s="441" t="s">
        <v>204</v>
      </c>
      <c r="P8" s="441"/>
      <c r="Q8" s="363">
        <v>2</v>
      </c>
      <c r="R8" s="350">
        <f>'ASG HOSP CAPI'!I122</f>
        <v>4351.7087135278089</v>
      </c>
      <c r="S8" s="350">
        <f t="shared" si="0"/>
        <v>8703.4174270556177</v>
      </c>
    </row>
    <row r="9" spans="2:19" x14ac:dyDescent="0.2">
      <c r="B9" s="441" t="s">
        <v>203</v>
      </c>
      <c r="C9" s="441"/>
      <c r="D9" s="441">
        <v>9000</v>
      </c>
      <c r="E9" s="441"/>
      <c r="F9" s="495">
        <f>'ASG EXT CAPI'!H148</f>
        <v>1.9340927615679151</v>
      </c>
      <c r="G9" s="495"/>
      <c r="H9" s="495">
        <f t="shared" si="1"/>
        <v>17406.834854111235</v>
      </c>
      <c r="I9" s="495"/>
      <c r="J9" s="495">
        <f>H9*12</f>
        <v>208882.01824933483</v>
      </c>
      <c r="K9" s="495"/>
      <c r="L9" s="52" t="s">
        <v>489</v>
      </c>
      <c r="O9" s="441" t="s">
        <v>205</v>
      </c>
      <c r="P9" s="441"/>
      <c r="Q9" s="363">
        <v>11</v>
      </c>
      <c r="R9" s="350">
        <f>'ASG BANH CAPI'!I122</f>
        <v>4351.7087135278089</v>
      </c>
      <c r="S9" s="350">
        <f t="shared" si="0"/>
        <v>47868.795848805894</v>
      </c>
    </row>
    <row r="10" spans="2:19" x14ac:dyDescent="0.2">
      <c r="B10" s="441" t="s">
        <v>204</v>
      </c>
      <c r="C10" s="441"/>
      <c r="D10" s="441">
        <v>810</v>
      </c>
      <c r="E10" s="441"/>
      <c r="F10" s="495">
        <f>'ASG HOSP CAPI'!H148</f>
        <v>10.744959786488417</v>
      </c>
      <c r="G10" s="495"/>
      <c r="H10" s="495">
        <f t="shared" si="1"/>
        <v>8703.4174270556177</v>
      </c>
      <c r="I10" s="495"/>
      <c r="J10" s="495">
        <f t="shared" ref="J10:J13" si="2">H10*12</f>
        <v>104441.00912466741</v>
      </c>
      <c r="K10" s="495"/>
      <c r="O10" s="441" t="s">
        <v>206</v>
      </c>
      <c r="P10" s="441"/>
      <c r="Q10" s="363">
        <v>12</v>
      </c>
      <c r="R10" s="350">
        <f>'ASG ESQU CAPI'!I122</f>
        <v>4783.09526716238</v>
      </c>
      <c r="S10" s="350">
        <f t="shared" si="0"/>
        <v>57397.14320594856</v>
      </c>
    </row>
    <row r="11" spans="2:19" x14ac:dyDescent="0.2">
      <c r="B11" s="441" t="s">
        <v>205</v>
      </c>
      <c r="C11" s="441"/>
      <c r="D11" s="441">
        <v>1250</v>
      </c>
      <c r="E11" s="441"/>
      <c r="F11" s="495">
        <f>'ASG BANH CAPI'!H148</f>
        <v>17.406834854111235</v>
      </c>
      <c r="G11" s="495"/>
      <c r="H11" s="495">
        <f t="shared" si="1"/>
        <v>21758.543567639044</v>
      </c>
      <c r="I11" s="495"/>
      <c r="J11" s="495">
        <f t="shared" si="2"/>
        <v>261102.52281166852</v>
      </c>
      <c r="K11" s="495"/>
      <c r="O11" s="441" t="s">
        <v>207</v>
      </c>
      <c r="P11" s="441"/>
      <c r="Q11" s="363">
        <v>4</v>
      </c>
      <c r="R11" s="350">
        <f>'ASG AJARDI CAPI'!I122</f>
        <v>3663.4043903707097</v>
      </c>
      <c r="S11" s="350">
        <f t="shared" si="0"/>
        <v>14653.617561482839</v>
      </c>
    </row>
    <row r="12" spans="2:19" x14ac:dyDescent="0.2">
      <c r="B12" s="441" t="s">
        <v>206</v>
      </c>
      <c r="C12" s="441"/>
      <c r="D12" s="441">
        <v>680</v>
      </c>
      <c r="E12" s="441"/>
      <c r="F12" s="495">
        <f>'ASG ESQU CAPI'!G148</f>
        <v>1.19</v>
      </c>
      <c r="G12" s="495"/>
      <c r="H12" s="495">
        <f t="shared" si="1"/>
        <v>809.19999999999993</v>
      </c>
      <c r="I12" s="495"/>
      <c r="J12" s="495">
        <f t="shared" si="2"/>
        <v>9710.4</v>
      </c>
      <c r="K12" s="495"/>
      <c r="Q12" s="368">
        <f>SUM(Q6:Q11)</f>
        <v>94</v>
      </c>
      <c r="S12" s="359">
        <f>SUM(S6:S11)</f>
        <v>411484.0404226004</v>
      </c>
    </row>
    <row r="13" spans="2:19" x14ac:dyDescent="0.2">
      <c r="B13" s="441" t="s">
        <v>207</v>
      </c>
      <c r="C13" s="441"/>
      <c r="D13" s="441">
        <v>6750</v>
      </c>
      <c r="E13" s="441"/>
      <c r="F13" s="495">
        <f>'ASG AJARDI CAPI'!H148</f>
        <v>1.6281797290536488</v>
      </c>
      <c r="G13" s="495"/>
      <c r="H13" s="495">
        <f t="shared" si="1"/>
        <v>10990.213171112129</v>
      </c>
      <c r="I13" s="495"/>
      <c r="J13" s="495">
        <f t="shared" si="2"/>
        <v>131882.55805334554</v>
      </c>
      <c r="K13" s="495"/>
    </row>
    <row r="14" spans="2:19" x14ac:dyDescent="0.2">
      <c r="B14" s="441"/>
      <c r="C14" s="441"/>
      <c r="D14" s="441"/>
      <c r="E14" s="441"/>
      <c r="F14" s="441"/>
      <c r="G14" s="441"/>
      <c r="H14" s="495"/>
      <c r="I14" s="495"/>
      <c r="J14" s="496">
        <f>SUM(J8:K13)</f>
        <v>2804838.6907323641</v>
      </c>
      <c r="K14" s="496"/>
      <c r="L14" s="52" t="s">
        <v>489</v>
      </c>
      <c r="M14" s="52">
        <f>J14+J22</f>
        <v>4728130.6023748843</v>
      </c>
    </row>
    <row r="15" spans="2:19" x14ac:dyDescent="0.2">
      <c r="B15" s="458"/>
      <c r="C15" s="458"/>
      <c r="D15" s="458"/>
      <c r="E15" s="458"/>
      <c r="F15" s="458"/>
      <c r="G15" s="458"/>
      <c r="H15" s="497"/>
      <c r="I15" s="497"/>
      <c r="J15" s="497"/>
      <c r="K15" s="497"/>
    </row>
    <row r="16" spans="2:19" s="45" customFormat="1" x14ac:dyDescent="0.2">
      <c r="B16" s="494" t="s">
        <v>208</v>
      </c>
      <c r="C16" s="494"/>
      <c r="D16" s="494"/>
      <c r="E16" s="494"/>
      <c r="F16" s="494"/>
      <c r="G16" s="494"/>
      <c r="H16" s="494"/>
      <c r="I16" s="494"/>
      <c r="J16" s="494"/>
      <c r="K16" s="494"/>
    </row>
    <row r="17" spans="2:13" x14ac:dyDescent="0.2">
      <c r="B17" s="441" t="s">
        <v>141</v>
      </c>
      <c r="C17" s="441"/>
      <c r="D17" s="441" t="s">
        <v>199</v>
      </c>
      <c r="E17" s="441"/>
      <c r="F17" s="441" t="s">
        <v>200</v>
      </c>
      <c r="G17" s="441"/>
      <c r="H17" s="495" t="s">
        <v>201</v>
      </c>
      <c r="I17" s="495"/>
      <c r="J17" s="495" t="s">
        <v>145</v>
      </c>
      <c r="K17" s="495"/>
    </row>
    <row r="18" spans="2:13" x14ac:dyDescent="0.2">
      <c r="B18" s="441" t="s">
        <v>202</v>
      </c>
      <c r="C18" s="441"/>
      <c r="D18" s="441">
        <v>23000</v>
      </c>
      <c r="E18" s="441"/>
      <c r="F18" s="498">
        <f>'ASG INT INTE'!H149</f>
        <v>4.2354939893898793</v>
      </c>
      <c r="G18" s="441"/>
      <c r="H18" s="495">
        <f t="shared" ref="H18:H21" si="3">F18*D18</f>
        <v>97416.361755967228</v>
      </c>
      <c r="I18" s="495"/>
      <c r="J18" s="495">
        <f t="shared" ref="J18:J21" si="4">H18*12</f>
        <v>1168996.3410716066</v>
      </c>
      <c r="K18" s="495"/>
      <c r="L18" s="52" t="s">
        <v>489</v>
      </c>
      <c r="M18" s="52" t="s">
        <v>489</v>
      </c>
    </row>
    <row r="19" spans="2:13" x14ac:dyDescent="0.2">
      <c r="B19" s="441" t="s">
        <v>203</v>
      </c>
      <c r="C19" s="441"/>
      <c r="D19" s="441">
        <v>18000</v>
      </c>
      <c r="E19" s="441"/>
      <c r="F19" s="498">
        <f>'ASG EXTE INT'!H148</f>
        <v>1.8824417730621685</v>
      </c>
      <c r="G19" s="441"/>
      <c r="H19" s="495">
        <f t="shared" si="3"/>
        <v>33883.951915119032</v>
      </c>
      <c r="I19" s="495"/>
      <c r="J19" s="495">
        <f t="shared" si="4"/>
        <v>406607.42298142839</v>
      </c>
      <c r="K19" s="495"/>
      <c r="L19" s="52" t="s">
        <v>489</v>
      </c>
      <c r="M19" s="52" t="s">
        <v>489</v>
      </c>
    </row>
    <row r="20" spans="2:13" x14ac:dyDescent="0.2">
      <c r="B20" s="441" t="s">
        <v>205</v>
      </c>
      <c r="C20" s="441"/>
      <c r="D20" s="441">
        <v>1500</v>
      </c>
      <c r="E20" s="441"/>
      <c r="F20" s="498">
        <f>'ASG BANHE INT'!H148</f>
        <v>16.941975957559517</v>
      </c>
      <c r="G20" s="441"/>
      <c r="H20" s="495">
        <f t="shared" si="3"/>
        <v>25412.963936339274</v>
      </c>
      <c r="I20" s="495"/>
      <c r="J20" s="495">
        <f t="shared" si="4"/>
        <v>304955.56723607128</v>
      </c>
      <c r="K20" s="495"/>
    </row>
    <row r="21" spans="2:13" x14ac:dyDescent="0.2">
      <c r="B21" s="441" t="s">
        <v>207</v>
      </c>
      <c r="C21" s="441"/>
      <c r="D21" s="441">
        <v>2250</v>
      </c>
      <c r="E21" s="441"/>
      <c r="F21" s="498">
        <f>'ASG AJARDI INT'!H148</f>
        <v>1.582688161237557</v>
      </c>
      <c r="G21" s="441"/>
      <c r="H21" s="495">
        <f t="shared" si="3"/>
        <v>3561.0483627845033</v>
      </c>
      <c r="I21" s="495"/>
      <c r="J21" s="495">
        <f t="shared" si="4"/>
        <v>42732.580353414043</v>
      </c>
      <c r="K21" s="495"/>
    </row>
    <row r="22" spans="2:13" x14ac:dyDescent="0.2">
      <c r="B22" s="441"/>
      <c r="C22" s="441"/>
      <c r="D22" s="441"/>
      <c r="E22" s="441"/>
      <c r="F22" s="441"/>
      <c r="G22" s="441"/>
      <c r="H22" s="495"/>
      <c r="I22" s="495"/>
      <c r="J22" s="496">
        <f>SUM(J18:K21)</f>
        <v>1923291.9116425202</v>
      </c>
      <c r="K22" s="496"/>
      <c r="L22" s="52" t="s">
        <v>489</v>
      </c>
    </row>
    <row r="23" spans="2:13" x14ac:dyDescent="0.2">
      <c r="L23" s="369" t="s">
        <v>489</v>
      </c>
    </row>
    <row r="25" spans="2:13" x14ac:dyDescent="0.2">
      <c r="B25" s="494" t="s">
        <v>134</v>
      </c>
      <c r="C25" s="494"/>
      <c r="D25" s="494"/>
      <c r="E25" s="494"/>
      <c r="F25" s="494"/>
      <c r="G25" s="494"/>
      <c r="H25" s="494"/>
      <c r="I25" s="494"/>
      <c r="J25" s="494"/>
      <c r="K25" s="494"/>
    </row>
    <row r="26" spans="2:13" x14ac:dyDescent="0.2">
      <c r="B26" s="441" t="s">
        <v>141</v>
      </c>
      <c r="C26" s="441"/>
      <c r="D26" s="441" t="s">
        <v>209</v>
      </c>
      <c r="E26" s="441"/>
      <c r="F26" s="441" t="s">
        <v>143</v>
      </c>
      <c r="G26" s="441"/>
      <c r="H26" s="495" t="s">
        <v>201</v>
      </c>
      <c r="I26" s="495"/>
      <c r="J26" s="495" t="s">
        <v>145</v>
      </c>
      <c r="K26" s="495"/>
    </row>
    <row r="27" spans="2:13" x14ac:dyDescent="0.2">
      <c r="B27" s="441" t="s">
        <v>134</v>
      </c>
      <c r="C27" s="441"/>
      <c r="D27" s="441">
        <v>3</v>
      </c>
      <c r="E27" s="441"/>
      <c r="F27" s="495">
        <f>ENCARREGADO!I122</f>
        <v>3773.1968559233101</v>
      </c>
      <c r="G27" s="495"/>
      <c r="H27" s="495">
        <f>F27*D27</f>
        <v>11319.59056776993</v>
      </c>
      <c r="I27" s="495"/>
      <c r="J27" s="495">
        <f>H27*12</f>
        <v>135835.08681323915</v>
      </c>
      <c r="K27" s="495"/>
    </row>
    <row r="29" spans="2:13" x14ac:dyDescent="0.2">
      <c r="B29" s="499" t="s">
        <v>146</v>
      </c>
      <c r="C29" s="499"/>
      <c r="D29" s="499"/>
      <c r="E29" s="499"/>
      <c r="F29" s="499"/>
      <c r="G29" s="499"/>
      <c r="H29" s="499"/>
      <c r="I29" s="496">
        <f>J27+J22+J14</f>
        <v>4863965.6891881237</v>
      </c>
      <c r="J29" s="496"/>
      <c r="K29" s="496"/>
    </row>
    <row r="30" spans="2:13" x14ac:dyDescent="0.2">
      <c r="B30" s="499"/>
      <c r="C30" s="499"/>
      <c r="D30" s="499"/>
      <c r="E30" s="499"/>
      <c r="F30" s="499"/>
      <c r="G30" s="499"/>
      <c r="H30" s="499"/>
      <c r="I30" s="496"/>
      <c r="J30" s="496"/>
      <c r="K30" s="496"/>
    </row>
    <row r="33" spans="2:12" x14ac:dyDescent="0.2">
      <c r="B33" s="499" t="s">
        <v>210</v>
      </c>
      <c r="C33" s="499"/>
      <c r="D33" s="499"/>
      <c r="E33" s="499"/>
      <c r="F33" s="499"/>
      <c r="G33" s="499"/>
      <c r="H33" s="499"/>
      <c r="I33" s="499"/>
      <c r="J33" s="499"/>
      <c r="K33" s="499"/>
    </row>
    <row r="34" spans="2:12" x14ac:dyDescent="0.2">
      <c r="B34" s="499"/>
      <c r="C34" s="499"/>
      <c r="D34" s="499"/>
      <c r="E34" s="499"/>
      <c r="F34" s="499"/>
      <c r="G34" s="499"/>
      <c r="H34" s="499"/>
      <c r="I34" s="499"/>
      <c r="J34" s="499"/>
      <c r="K34" s="499"/>
    </row>
    <row r="35" spans="2:12" x14ac:dyDescent="0.2">
      <c r="B35" s="441" t="s">
        <v>141</v>
      </c>
      <c r="C35" s="441"/>
      <c r="D35" s="441"/>
      <c r="E35" s="441"/>
      <c r="F35" s="441"/>
      <c r="G35" s="441"/>
      <c r="H35" s="441"/>
      <c r="I35" s="500" t="s">
        <v>145</v>
      </c>
      <c r="J35" s="500"/>
      <c r="K35" s="500"/>
    </row>
    <row r="36" spans="2:12" x14ac:dyDescent="0.2">
      <c r="B36" s="441" t="s">
        <v>211</v>
      </c>
      <c r="C36" s="441"/>
      <c r="D36" s="441"/>
      <c r="E36" s="441"/>
      <c r="F36" s="441"/>
      <c r="G36" s="441"/>
      <c r="H36" s="441"/>
      <c r="I36" s="495">
        <f>MULTIROES!E28</f>
        <v>80574.29830395004</v>
      </c>
      <c r="J36" s="495"/>
      <c r="K36" s="495"/>
    </row>
    <row r="37" spans="2:12" x14ac:dyDescent="0.2">
      <c r="B37" s="441" t="s">
        <v>212</v>
      </c>
      <c r="C37" s="441"/>
      <c r="D37" s="441"/>
      <c r="E37" s="441"/>
      <c r="F37" s="441"/>
      <c r="G37" s="441"/>
      <c r="H37" s="441"/>
      <c r="I37" s="495">
        <f>MULTIROES!E47</f>
        <v>31341.877985396852</v>
      </c>
      <c r="J37" s="495"/>
      <c r="K37" s="495"/>
    </row>
    <row r="38" spans="2:12" x14ac:dyDescent="0.2">
      <c r="B38" s="441" t="s">
        <v>139</v>
      </c>
      <c r="C38" s="441"/>
      <c r="D38" s="441"/>
      <c r="E38" s="441"/>
      <c r="F38" s="441"/>
      <c r="G38" s="441"/>
      <c r="H38" s="441"/>
      <c r="I38" s="495">
        <f>'DESLOC PERNOITE'!I124+'DESLOC S PERNOITE'!I132</f>
        <v>18720.124137931038</v>
      </c>
      <c r="J38" s="495"/>
      <c r="K38" s="495"/>
    </row>
    <row r="39" spans="2:12" x14ac:dyDescent="0.2">
      <c r="B39" s="494" t="s">
        <v>213</v>
      </c>
      <c r="C39" s="494"/>
      <c r="D39" s="494"/>
      <c r="E39" s="494"/>
      <c r="F39" s="494"/>
      <c r="G39" s="494"/>
      <c r="H39" s="494"/>
      <c r="I39" s="496">
        <f>SUM(I36:K38)</f>
        <v>130636.30042727792</v>
      </c>
      <c r="J39" s="496"/>
      <c r="K39" s="496"/>
    </row>
    <row r="42" spans="2:12" x14ac:dyDescent="0.2">
      <c r="B42" s="499" t="s">
        <v>214</v>
      </c>
      <c r="C42" s="499"/>
      <c r="D42" s="499"/>
      <c r="E42" s="499"/>
      <c r="F42" s="499"/>
      <c r="G42" s="499"/>
      <c r="H42" s="499"/>
      <c r="I42" s="499"/>
      <c r="J42" s="499"/>
      <c r="K42" s="499"/>
    </row>
    <row r="43" spans="2:12" x14ac:dyDescent="0.2">
      <c r="B43" s="499"/>
      <c r="C43" s="499"/>
      <c r="D43" s="499"/>
      <c r="E43" s="499"/>
      <c r="F43" s="499"/>
      <c r="G43" s="499"/>
      <c r="H43" s="499"/>
      <c r="I43" s="499"/>
      <c r="J43" s="499"/>
      <c r="K43" s="499"/>
    </row>
    <row r="44" spans="2:12" x14ac:dyDescent="0.2">
      <c r="B44" s="441" t="s">
        <v>141</v>
      </c>
      <c r="C44" s="441"/>
      <c r="D44" s="441"/>
      <c r="E44" s="441"/>
      <c r="F44" s="441"/>
      <c r="G44" s="441"/>
      <c r="H44" s="441"/>
      <c r="I44" s="500" t="s">
        <v>145</v>
      </c>
      <c r="J44" s="500"/>
      <c r="K44" s="500"/>
    </row>
    <row r="45" spans="2:12" x14ac:dyDescent="0.2">
      <c r="B45" s="441" t="s">
        <v>215</v>
      </c>
      <c r="C45" s="441"/>
      <c r="D45" s="441"/>
      <c r="E45" s="441"/>
      <c r="F45" s="441"/>
      <c r="G45" s="441"/>
      <c r="H45" s="441"/>
      <c r="I45" s="495">
        <f>MATERIAL!I126</f>
        <v>1564700.8</v>
      </c>
      <c r="J45" s="495"/>
      <c r="K45" s="495"/>
      <c r="L45" t="s">
        <v>490</v>
      </c>
    </row>
    <row r="46" spans="2:12" x14ac:dyDescent="0.2">
      <c r="B46" s="494" t="s">
        <v>216</v>
      </c>
      <c r="C46" s="494"/>
      <c r="D46" s="494"/>
      <c r="E46" s="494"/>
      <c r="F46" s="494"/>
      <c r="G46" s="494"/>
      <c r="H46" s="494"/>
      <c r="I46" s="496">
        <f>SUM(I45)</f>
        <v>1564700.8</v>
      </c>
      <c r="J46" s="496"/>
      <c r="K46" s="496"/>
    </row>
    <row r="49" spans="2:13" x14ac:dyDescent="0.2">
      <c r="B49" s="499" t="s">
        <v>217</v>
      </c>
      <c r="C49" s="499"/>
      <c r="D49" s="499"/>
      <c r="E49" s="499"/>
      <c r="F49" s="499"/>
      <c r="G49" s="499"/>
      <c r="H49" s="499"/>
      <c r="I49" s="499"/>
      <c r="J49" s="499"/>
      <c r="K49" s="499"/>
    </row>
    <row r="50" spans="2:13" x14ac:dyDescent="0.2">
      <c r="B50" s="499"/>
      <c r="C50" s="499"/>
      <c r="D50" s="499"/>
      <c r="E50" s="499"/>
      <c r="F50" s="499"/>
      <c r="G50" s="499"/>
      <c r="H50" s="499"/>
      <c r="I50" s="499"/>
      <c r="J50" s="499"/>
      <c r="K50" s="499"/>
    </row>
    <row r="51" spans="2:13" x14ac:dyDescent="0.2">
      <c r="B51" s="441" t="s">
        <v>141</v>
      </c>
      <c r="C51" s="441"/>
      <c r="D51" s="441"/>
      <c r="E51" s="441"/>
      <c r="F51" s="441"/>
      <c r="G51" s="441"/>
      <c r="H51" s="441"/>
      <c r="I51" s="500" t="s">
        <v>145</v>
      </c>
      <c r="J51" s="500"/>
      <c r="K51" s="500"/>
    </row>
    <row r="52" spans="2:13" x14ac:dyDescent="0.2">
      <c r="B52" s="441" t="s">
        <v>217</v>
      </c>
      <c r="C52" s="441"/>
      <c r="D52" s="441"/>
      <c r="E52" s="441"/>
      <c r="F52" s="441"/>
      <c r="G52" s="441"/>
      <c r="H52" s="441"/>
      <c r="I52" s="495">
        <f>'ASG FACHADA'!I133</f>
        <v>5200.8586815854696</v>
      </c>
      <c r="J52" s="495"/>
      <c r="K52" s="495"/>
    </row>
    <row r="53" spans="2:13" x14ac:dyDescent="0.2">
      <c r="B53" s="441" t="s">
        <v>218</v>
      </c>
      <c r="C53" s="441"/>
      <c r="D53" s="441"/>
      <c r="E53" s="441"/>
      <c r="F53" s="441"/>
      <c r="G53" s="441"/>
      <c r="H53" s="441"/>
      <c r="I53" s="495">
        <f>SUM(I52)</f>
        <v>5200.8586815854696</v>
      </c>
      <c r="J53" s="495"/>
      <c r="K53" s="495"/>
    </row>
    <row r="55" spans="2:13" x14ac:dyDescent="0.2">
      <c r="B55" s="499" t="s">
        <v>219</v>
      </c>
      <c r="C55" s="499"/>
      <c r="D55" s="499"/>
      <c r="E55" s="499"/>
      <c r="F55" s="499"/>
      <c r="G55" s="499"/>
      <c r="H55" s="499"/>
      <c r="I55" s="501">
        <f>I53+I39+I29</f>
        <v>4999802.8482969869</v>
      </c>
      <c r="J55" s="502"/>
      <c r="K55" s="503"/>
    </row>
    <row r="56" spans="2:13" x14ac:dyDescent="0.2">
      <c r="B56" s="499"/>
      <c r="C56" s="499"/>
      <c r="D56" s="499"/>
      <c r="E56" s="499"/>
      <c r="F56" s="499"/>
      <c r="G56" s="499"/>
      <c r="H56" s="499"/>
      <c r="I56" s="504"/>
      <c r="J56" s="505"/>
      <c r="K56" s="506"/>
      <c r="M56" s="338">
        <v>5000000</v>
      </c>
    </row>
    <row r="57" spans="2:13" x14ac:dyDescent="0.2">
      <c r="B57" s="499"/>
      <c r="C57" s="499"/>
      <c r="D57" s="499"/>
      <c r="E57" s="499"/>
      <c r="F57" s="499"/>
      <c r="G57" s="499"/>
      <c r="H57" s="499"/>
      <c r="I57" s="507"/>
      <c r="J57" s="508"/>
      <c r="K57" s="509"/>
      <c r="M57" s="52">
        <f>M56-I55</f>
        <v>197.15170301310718</v>
      </c>
    </row>
    <row r="58" spans="2:13" x14ac:dyDescent="0.2">
      <c r="L58" s="359">
        <f>I55</f>
        <v>4999802.8482969869</v>
      </c>
    </row>
  </sheetData>
  <mergeCells count="126">
    <mergeCell ref="B55:H57"/>
    <mergeCell ref="I55:K57"/>
    <mergeCell ref="B49:K50"/>
    <mergeCell ref="B51:H51"/>
    <mergeCell ref="I51:K51"/>
    <mergeCell ref="B52:H52"/>
    <mergeCell ref="I52:K52"/>
    <mergeCell ref="B53:H53"/>
    <mergeCell ref="I53:K53"/>
    <mergeCell ref="B42:K43"/>
    <mergeCell ref="B44:H44"/>
    <mergeCell ref="I44:K44"/>
    <mergeCell ref="B45:H45"/>
    <mergeCell ref="I45:K45"/>
    <mergeCell ref="B46:H46"/>
    <mergeCell ref="I46:K46"/>
    <mergeCell ref="B37:H37"/>
    <mergeCell ref="B38:H38"/>
    <mergeCell ref="B39:H39"/>
    <mergeCell ref="I36:K36"/>
    <mergeCell ref="I37:K37"/>
    <mergeCell ref="I38:K38"/>
    <mergeCell ref="I39:K39"/>
    <mergeCell ref="B29:H30"/>
    <mergeCell ref="I29:K30"/>
    <mergeCell ref="B33:K34"/>
    <mergeCell ref="B35:H35"/>
    <mergeCell ref="I35:K35"/>
    <mergeCell ref="B36:H36"/>
    <mergeCell ref="B26:C26"/>
    <mergeCell ref="D26:E26"/>
    <mergeCell ref="F26:G26"/>
    <mergeCell ref="H26:I26"/>
    <mergeCell ref="J26:K26"/>
    <mergeCell ref="B27:C27"/>
    <mergeCell ref="D27:E27"/>
    <mergeCell ref="F27:G27"/>
    <mergeCell ref="H27:I27"/>
    <mergeCell ref="J27:K27"/>
    <mergeCell ref="B22:C22"/>
    <mergeCell ref="D22:E22"/>
    <mergeCell ref="F22:G22"/>
    <mergeCell ref="H22:I22"/>
    <mergeCell ref="J22:K22"/>
    <mergeCell ref="B25:K25"/>
    <mergeCell ref="H21:I21"/>
    <mergeCell ref="J21:K21"/>
    <mergeCell ref="B21:C21"/>
    <mergeCell ref="D21:E21"/>
    <mergeCell ref="F21:G21"/>
    <mergeCell ref="H20:I20"/>
    <mergeCell ref="J20:K20"/>
    <mergeCell ref="B20:C20"/>
    <mergeCell ref="D20:E20"/>
    <mergeCell ref="F20:G20"/>
    <mergeCell ref="B18:C18"/>
    <mergeCell ref="D18:E18"/>
    <mergeCell ref="F18:G18"/>
    <mergeCell ref="H18:I18"/>
    <mergeCell ref="J18:K18"/>
    <mergeCell ref="B19:C19"/>
    <mergeCell ref="D19:E19"/>
    <mergeCell ref="F19:G19"/>
    <mergeCell ref="H19:I19"/>
    <mergeCell ref="J19:K19"/>
    <mergeCell ref="B14:C14"/>
    <mergeCell ref="D14:E14"/>
    <mergeCell ref="F14:G14"/>
    <mergeCell ref="H14:I14"/>
    <mergeCell ref="J14:K14"/>
    <mergeCell ref="B16:K16"/>
    <mergeCell ref="B17:C17"/>
    <mergeCell ref="D17:E17"/>
    <mergeCell ref="F17:G17"/>
    <mergeCell ref="H17:I17"/>
    <mergeCell ref="J17:K17"/>
    <mergeCell ref="B15:C15"/>
    <mergeCell ref="D15:E15"/>
    <mergeCell ref="F15:G15"/>
    <mergeCell ref="H15:I15"/>
    <mergeCell ref="J15:K15"/>
    <mergeCell ref="B12:C12"/>
    <mergeCell ref="D12:E12"/>
    <mergeCell ref="F12:G12"/>
    <mergeCell ref="H12:I12"/>
    <mergeCell ref="J12:K12"/>
    <mergeCell ref="B13:C13"/>
    <mergeCell ref="D13:E13"/>
    <mergeCell ref="F13:G13"/>
    <mergeCell ref="H13:I13"/>
    <mergeCell ref="J13:K13"/>
    <mergeCell ref="J9:K9"/>
    <mergeCell ref="B10:C10"/>
    <mergeCell ref="D10:E10"/>
    <mergeCell ref="F10:G10"/>
    <mergeCell ref="H10:I10"/>
    <mergeCell ref="J10:K10"/>
    <mergeCell ref="B11:C11"/>
    <mergeCell ref="D11:E11"/>
    <mergeCell ref="F11:G11"/>
    <mergeCell ref="H11:I11"/>
    <mergeCell ref="J11:K11"/>
    <mergeCell ref="O6:P6"/>
    <mergeCell ref="O7:P7"/>
    <mergeCell ref="O8:P8"/>
    <mergeCell ref="O9:P9"/>
    <mergeCell ref="O10:P10"/>
    <mergeCell ref="O11:P11"/>
    <mergeCell ref="O3:S4"/>
    <mergeCell ref="B1:K3"/>
    <mergeCell ref="B6:K6"/>
    <mergeCell ref="B5:K5"/>
    <mergeCell ref="B8:C8"/>
    <mergeCell ref="D8:E8"/>
    <mergeCell ref="F8:G8"/>
    <mergeCell ref="H8:I8"/>
    <mergeCell ref="J8:K8"/>
    <mergeCell ref="B7:C7"/>
    <mergeCell ref="D7:E7"/>
    <mergeCell ref="F7:G7"/>
    <mergeCell ref="H7:I7"/>
    <mergeCell ref="J7:K7"/>
    <mergeCell ref="B9:C9"/>
    <mergeCell ref="D9:E9"/>
    <mergeCell ref="F9:G9"/>
    <mergeCell ref="H9:I9"/>
  </mergeCells>
  <pageMargins left="0.511811024" right="0.511811024" top="0.78740157499999996" bottom="0.78740157499999996" header="0.31496062000000002" footer="0.31496062000000002"/>
  <pageSetup paperSize="9" orientation="portrait" horizontalDpi="0"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8C17F-AC0C-4182-8503-48099F98835D}">
  <sheetPr>
    <tabColor rgb="FF00B0F0"/>
  </sheetPr>
  <dimension ref="A1:M94"/>
  <sheetViews>
    <sheetView topLeftCell="A37" zoomScale="118" zoomScaleNormal="118" workbookViewId="0">
      <selection activeCell="H48" sqref="H48"/>
    </sheetView>
  </sheetViews>
  <sheetFormatPr defaultColWidth="9.140625" defaultRowHeight="12.75" x14ac:dyDescent="0.2"/>
  <cols>
    <col min="1" max="6" width="9.140625" style="45"/>
    <col min="7" max="7" width="15.140625" style="45" bestFit="1" customWidth="1"/>
    <col min="8" max="8" width="11.140625" style="45" bestFit="1" customWidth="1"/>
    <col min="9" max="9" width="49.42578125" style="45" bestFit="1" customWidth="1"/>
    <col min="10" max="10" width="9.140625" style="47"/>
    <col min="11" max="11" width="18.140625" style="45" customWidth="1"/>
    <col min="12" max="12" width="9.140625" style="45"/>
    <col min="13" max="13" width="10.85546875" style="45" bestFit="1" customWidth="1"/>
    <col min="14" max="16384" width="9.140625" style="45"/>
  </cols>
  <sheetData>
    <row r="1" spans="1:12" x14ac:dyDescent="0.2">
      <c r="A1" s="405"/>
      <c r="B1" s="405"/>
      <c r="C1" s="405"/>
      <c r="D1" s="405"/>
      <c r="E1" s="405"/>
      <c r="F1" s="405"/>
      <c r="G1" s="405"/>
      <c r="H1" s="405"/>
      <c r="I1" s="405"/>
    </row>
    <row r="2" spans="1:12" x14ac:dyDescent="0.2">
      <c r="A2" s="395" t="s">
        <v>19</v>
      </c>
      <c r="B2" s="395"/>
      <c r="C2" s="395"/>
      <c r="D2" s="395"/>
      <c r="E2" s="395"/>
      <c r="F2" s="395"/>
      <c r="G2" s="395"/>
      <c r="H2" s="395"/>
      <c r="I2" s="395"/>
    </row>
    <row r="3" spans="1:12" x14ac:dyDescent="0.2">
      <c r="A3" s="70">
        <v>1</v>
      </c>
      <c r="B3" s="389" t="s">
        <v>20</v>
      </c>
      <c r="C3" s="389"/>
      <c r="D3" s="389"/>
      <c r="E3" s="389"/>
      <c r="F3" s="389"/>
      <c r="G3" s="389"/>
      <c r="H3" s="70" t="s">
        <v>21</v>
      </c>
      <c r="I3" s="70" t="s">
        <v>22</v>
      </c>
    </row>
    <row r="4" spans="1:12" x14ac:dyDescent="0.2">
      <c r="A4" s="70" t="s">
        <v>1</v>
      </c>
      <c r="B4" s="373" t="s">
        <v>23</v>
      </c>
      <c r="C4" s="373"/>
      <c r="D4" s="373"/>
      <c r="E4" s="373"/>
      <c r="F4" s="373"/>
      <c r="G4" s="373"/>
      <c r="H4" s="4"/>
      <c r="I4" s="5" t="s">
        <v>220</v>
      </c>
      <c r="L4" s="20"/>
    </row>
    <row r="5" spans="1:12" x14ac:dyDescent="0.2">
      <c r="A5" s="70" t="s">
        <v>3</v>
      </c>
      <c r="B5" s="373" t="s">
        <v>24</v>
      </c>
      <c r="C5" s="373"/>
      <c r="D5" s="373"/>
      <c r="E5" s="373"/>
      <c r="F5" s="373"/>
      <c r="G5" s="373"/>
      <c r="H5" s="6"/>
      <c r="I5" s="5"/>
      <c r="L5" s="53"/>
    </row>
    <row r="6" spans="1:12" x14ac:dyDescent="0.2">
      <c r="A6" s="70" t="s">
        <v>5</v>
      </c>
      <c r="B6" s="373" t="s">
        <v>25</v>
      </c>
      <c r="C6" s="373"/>
      <c r="D6" s="373"/>
      <c r="E6" s="373"/>
      <c r="F6" s="373"/>
      <c r="G6" s="373"/>
      <c r="H6" s="6"/>
      <c r="I6" s="138" t="s">
        <v>221</v>
      </c>
    </row>
    <row r="7" spans="1:12" x14ac:dyDescent="0.2">
      <c r="A7" s="70" t="s">
        <v>7</v>
      </c>
      <c r="B7" s="373" t="s">
        <v>26</v>
      </c>
      <c r="C7" s="373"/>
      <c r="D7" s="373"/>
      <c r="E7" s="373"/>
      <c r="F7" s="373"/>
      <c r="G7" s="373"/>
      <c r="H7" s="6"/>
      <c r="I7" s="5"/>
    </row>
    <row r="8" spans="1:12" x14ac:dyDescent="0.2">
      <c r="A8" s="70" t="s">
        <v>27</v>
      </c>
      <c r="B8" s="373" t="s">
        <v>28</v>
      </c>
      <c r="C8" s="373"/>
      <c r="D8" s="373"/>
      <c r="E8" s="373"/>
      <c r="F8" s="373"/>
      <c r="G8" s="373"/>
      <c r="H8" s="6"/>
      <c r="I8" s="5"/>
    </row>
    <row r="9" spans="1:12" x14ac:dyDescent="0.2">
      <c r="A9" s="70" t="s">
        <v>29</v>
      </c>
      <c r="B9" s="373" t="s">
        <v>30</v>
      </c>
      <c r="C9" s="373"/>
      <c r="D9" s="373"/>
      <c r="E9" s="373"/>
      <c r="F9" s="373"/>
      <c r="G9" s="373"/>
      <c r="H9" s="6"/>
      <c r="I9" s="5"/>
    </row>
    <row r="10" spans="1:12" x14ac:dyDescent="0.2">
      <c r="A10" s="70" t="s">
        <v>31</v>
      </c>
      <c r="B10" s="373" t="s">
        <v>32</v>
      </c>
      <c r="C10" s="373"/>
      <c r="D10" s="373"/>
      <c r="E10" s="373"/>
      <c r="F10" s="373"/>
      <c r="G10" s="373"/>
      <c r="H10" s="6"/>
      <c r="I10" s="5"/>
    </row>
    <row r="11" spans="1:12" x14ac:dyDescent="0.2">
      <c r="A11" s="8"/>
      <c r="B11" s="8"/>
      <c r="C11" s="8"/>
      <c r="D11" s="8"/>
      <c r="E11" s="8"/>
      <c r="F11" s="8"/>
      <c r="G11" s="8"/>
      <c r="H11" s="8"/>
      <c r="I11" s="9"/>
      <c r="J11" s="48"/>
    </row>
    <row r="12" spans="1:12" x14ac:dyDescent="0.2">
      <c r="A12" s="395" t="s">
        <v>34</v>
      </c>
      <c r="B12" s="395"/>
      <c r="C12" s="395"/>
      <c r="D12" s="395"/>
      <c r="E12" s="395"/>
      <c r="F12" s="395"/>
      <c r="G12" s="395"/>
      <c r="H12" s="395"/>
      <c r="I12" s="395"/>
      <c r="J12" s="48"/>
    </row>
    <row r="13" spans="1:12" x14ac:dyDescent="0.2">
      <c r="A13" s="389" t="s">
        <v>35</v>
      </c>
      <c r="B13" s="389"/>
      <c r="C13" s="389"/>
      <c r="D13" s="389"/>
      <c r="E13" s="389"/>
      <c r="F13" s="389"/>
      <c r="G13" s="389"/>
      <c r="H13" s="70" t="s">
        <v>21</v>
      </c>
      <c r="I13" s="70" t="s">
        <v>22</v>
      </c>
      <c r="J13" s="48"/>
    </row>
    <row r="14" spans="1:12" x14ac:dyDescent="0.2">
      <c r="A14" s="70" t="s">
        <v>1</v>
      </c>
      <c r="B14" s="373" t="s">
        <v>36</v>
      </c>
      <c r="C14" s="373"/>
      <c r="D14" s="373"/>
      <c r="E14" s="373"/>
      <c r="F14" s="373"/>
      <c r="G14" s="373"/>
      <c r="H14" s="10">
        <v>8.3299999999999999E-2</v>
      </c>
      <c r="I14" s="511" t="s">
        <v>222</v>
      </c>
      <c r="J14" s="48"/>
    </row>
    <row r="15" spans="1:12" x14ac:dyDescent="0.2">
      <c r="A15" s="70" t="s">
        <v>3</v>
      </c>
      <c r="B15" s="373" t="s">
        <v>185</v>
      </c>
      <c r="C15" s="373"/>
      <c r="D15" s="373"/>
      <c r="E15" s="373"/>
      <c r="F15" s="373"/>
      <c r="G15" s="373"/>
      <c r="H15" s="11">
        <v>2.7799999999999998E-2</v>
      </c>
      <c r="I15" s="512"/>
      <c r="J15" s="48"/>
    </row>
    <row r="16" spans="1:12" x14ac:dyDescent="0.2">
      <c r="A16" s="79" t="s">
        <v>132</v>
      </c>
      <c r="B16" s="373" t="s">
        <v>133</v>
      </c>
      <c r="C16" s="373"/>
      <c r="D16" s="373"/>
      <c r="E16" s="373"/>
      <c r="F16" s="373"/>
      <c r="G16" s="373"/>
      <c r="H16" s="11">
        <f>(H14+H15)*35.81%</f>
        <v>3.9784910000000007E-2</v>
      </c>
      <c r="I16" s="513"/>
      <c r="J16" s="48"/>
    </row>
    <row r="17" spans="1:11" x14ac:dyDescent="0.2">
      <c r="A17" s="403"/>
      <c r="B17" s="403"/>
      <c r="C17" s="403"/>
      <c r="D17" s="403"/>
      <c r="E17" s="403"/>
      <c r="F17" s="403"/>
      <c r="G17" s="403"/>
      <c r="H17" s="403"/>
      <c r="I17" s="403"/>
      <c r="J17" s="48"/>
    </row>
    <row r="18" spans="1:11" x14ac:dyDescent="0.2">
      <c r="A18" s="389" t="s">
        <v>38</v>
      </c>
      <c r="B18" s="389"/>
      <c r="C18" s="389"/>
      <c r="D18" s="389"/>
      <c r="E18" s="389"/>
      <c r="F18" s="389"/>
      <c r="G18" s="389"/>
      <c r="H18" s="70" t="s">
        <v>21</v>
      </c>
      <c r="I18" s="70" t="s">
        <v>22</v>
      </c>
      <c r="J18" s="48"/>
      <c r="K18" s="404"/>
    </row>
    <row r="19" spans="1:11" x14ac:dyDescent="0.2">
      <c r="A19" s="70" t="s">
        <v>1</v>
      </c>
      <c r="B19" s="373" t="s">
        <v>39</v>
      </c>
      <c r="C19" s="373"/>
      <c r="D19" s="373"/>
      <c r="E19" s="373"/>
      <c r="F19" s="373"/>
      <c r="G19" s="373"/>
      <c r="H19" s="10">
        <v>0.2</v>
      </c>
      <c r="I19" s="516" t="s">
        <v>223</v>
      </c>
      <c r="J19" s="48"/>
      <c r="K19" s="404"/>
    </row>
    <row r="20" spans="1:11" x14ac:dyDescent="0.2">
      <c r="A20" s="70" t="s">
        <v>3</v>
      </c>
      <c r="B20" s="373" t="s">
        <v>40</v>
      </c>
      <c r="C20" s="373"/>
      <c r="D20" s="373"/>
      <c r="E20" s="373"/>
      <c r="F20" s="373"/>
      <c r="G20" s="373"/>
      <c r="H20" s="10">
        <v>2.5000000000000001E-2</v>
      </c>
      <c r="I20" s="517"/>
      <c r="J20" s="48"/>
      <c r="K20" s="404"/>
    </row>
    <row r="21" spans="1:11" ht="24.75" customHeight="1" x14ac:dyDescent="0.2">
      <c r="A21" s="70" t="s">
        <v>5</v>
      </c>
      <c r="B21" s="510" t="s">
        <v>224</v>
      </c>
      <c r="C21" s="510"/>
      <c r="D21" s="510"/>
      <c r="E21" s="510"/>
      <c r="F21" s="510"/>
      <c r="G21" s="510"/>
      <c r="H21" s="10">
        <v>2.01E-2</v>
      </c>
      <c r="I21" s="517"/>
      <c r="J21" s="48"/>
      <c r="K21" s="404"/>
    </row>
    <row r="22" spans="1:11" x14ac:dyDescent="0.2">
      <c r="A22" s="70" t="s">
        <v>7</v>
      </c>
      <c r="B22" s="373" t="s">
        <v>42</v>
      </c>
      <c r="C22" s="373"/>
      <c r="D22" s="373"/>
      <c r="E22" s="373"/>
      <c r="F22" s="373"/>
      <c r="G22" s="373"/>
      <c r="H22" s="10">
        <v>1.4999999999999999E-2</v>
      </c>
      <c r="I22" s="517"/>
      <c r="J22" s="48"/>
      <c r="K22" s="404"/>
    </row>
    <row r="23" spans="1:11" x14ac:dyDescent="0.2">
      <c r="A23" s="70" t="s">
        <v>27</v>
      </c>
      <c r="B23" s="373" t="s">
        <v>43</v>
      </c>
      <c r="C23" s="373"/>
      <c r="D23" s="373"/>
      <c r="E23" s="373"/>
      <c r="F23" s="373"/>
      <c r="G23" s="373"/>
      <c r="H23" s="10">
        <v>0.01</v>
      </c>
      <c r="I23" s="517"/>
      <c r="J23" s="48"/>
      <c r="K23" s="404"/>
    </row>
    <row r="24" spans="1:11" x14ac:dyDescent="0.2">
      <c r="A24" s="70" t="s">
        <v>29</v>
      </c>
      <c r="B24" s="373" t="s">
        <v>44</v>
      </c>
      <c r="C24" s="373"/>
      <c r="D24" s="373"/>
      <c r="E24" s="373"/>
      <c r="F24" s="373"/>
      <c r="G24" s="373"/>
      <c r="H24" s="10">
        <v>6.0000000000000001E-3</v>
      </c>
      <c r="I24" s="517"/>
      <c r="J24" s="48"/>
      <c r="K24" s="404"/>
    </row>
    <row r="25" spans="1:11" x14ac:dyDescent="0.2">
      <c r="A25" s="70" t="s">
        <v>31</v>
      </c>
      <c r="B25" s="373" t="s">
        <v>45</v>
      </c>
      <c r="C25" s="373"/>
      <c r="D25" s="373"/>
      <c r="E25" s="373"/>
      <c r="F25" s="373"/>
      <c r="G25" s="373"/>
      <c r="H25" s="10">
        <v>2E-3</v>
      </c>
      <c r="I25" s="517"/>
      <c r="J25" s="48"/>
      <c r="K25" s="404"/>
    </row>
    <row r="26" spans="1:11" x14ac:dyDescent="0.2">
      <c r="A26" s="70" t="s">
        <v>46</v>
      </c>
      <c r="B26" s="373" t="s">
        <v>47</v>
      </c>
      <c r="C26" s="373"/>
      <c r="D26" s="373"/>
      <c r="E26" s="373"/>
      <c r="F26" s="373"/>
      <c r="G26" s="373"/>
      <c r="H26" s="10">
        <v>0.08</v>
      </c>
      <c r="I26" s="518"/>
      <c r="J26" s="48"/>
      <c r="K26" s="404"/>
    </row>
    <row r="27" spans="1:11" x14ac:dyDescent="0.2">
      <c r="A27" s="402"/>
      <c r="B27" s="402"/>
      <c r="C27" s="402"/>
      <c r="D27" s="402"/>
      <c r="E27" s="402"/>
      <c r="F27" s="402"/>
      <c r="G27" s="402"/>
      <c r="H27" s="402"/>
      <c r="I27" s="402"/>
      <c r="J27" s="48"/>
    </row>
    <row r="28" spans="1:11" x14ac:dyDescent="0.2">
      <c r="A28" s="389" t="s">
        <v>49</v>
      </c>
      <c r="B28" s="389"/>
      <c r="C28" s="389"/>
      <c r="D28" s="389"/>
      <c r="E28" s="389"/>
      <c r="F28" s="389"/>
      <c r="G28" s="389"/>
      <c r="H28" s="12"/>
      <c r="I28" s="70" t="s">
        <v>22</v>
      </c>
      <c r="J28" s="48"/>
    </row>
    <row r="29" spans="1:11" x14ac:dyDescent="0.2">
      <c r="A29" s="70" t="s">
        <v>1</v>
      </c>
      <c r="B29" s="393" t="s">
        <v>125</v>
      </c>
      <c r="C29" s="393"/>
      <c r="D29" s="393"/>
      <c r="E29" s="393"/>
      <c r="F29" s="393"/>
      <c r="G29" s="393"/>
      <c r="H29" s="55">
        <v>3.65</v>
      </c>
      <c r="I29" s="331" t="s">
        <v>225</v>
      </c>
      <c r="J29" s="48"/>
    </row>
    <row r="30" spans="1:11" ht="25.5" x14ac:dyDescent="0.2">
      <c r="A30" s="139" t="s">
        <v>3</v>
      </c>
      <c r="B30" s="514" t="s">
        <v>124</v>
      </c>
      <c r="C30" s="514"/>
      <c r="D30" s="514"/>
      <c r="E30" s="514"/>
      <c r="F30" s="514"/>
      <c r="G30" s="514"/>
      <c r="H30" s="140">
        <v>19</v>
      </c>
      <c r="I30" s="141" t="s">
        <v>226</v>
      </c>
      <c r="J30" s="49"/>
    </row>
    <row r="31" spans="1:11" x14ac:dyDescent="0.2">
      <c r="A31" s="70" t="s">
        <v>5</v>
      </c>
      <c r="B31" s="393" t="s">
        <v>126</v>
      </c>
      <c r="C31" s="393"/>
      <c r="D31" s="393"/>
      <c r="E31" s="393"/>
      <c r="F31" s="393"/>
      <c r="G31" s="393"/>
      <c r="H31" s="55">
        <v>0</v>
      </c>
      <c r="I31" s="14">
        <f>H31</f>
        <v>0</v>
      </c>
      <c r="J31" s="48"/>
    </row>
    <row r="32" spans="1:11" x14ac:dyDescent="0.2">
      <c r="A32" s="70" t="s">
        <v>7</v>
      </c>
      <c r="B32" s="397" t="s">
        <v>127</v>
      </c>
      <c r="C32" s="398"/>
      <c r="D32" s="398"/>
      <c r="E32" s="398"/>
      <c r="F32" s="398"/>
      <c r="G32" s="399"/>
      <c r="H32" s="55">
        <v>0</v>
      </c>
      <c r="I32" s="14">
        <f>H32</f>
        <v>0</v>
      </c>
      <c r="J32" s="48"/>
    </row>
    <row r="33" spans="1:11" ht="25.5" x14ac:dyDescent="0.2">
      <c r="A33" s="139" t="s">
        <v>27</v>
      </c>
      <c r="B33" s="515" t="s">
        <v>131</v>
      </c>
      <c r="C33" s="515"/>
      <c r="D33" s="515"/>
      <c r="E33" s="515"/>
      <c r="F33" s="515"/>
      <c r="G33" s="515"/>
      <c r="H33" s="140">
        <v>8</v>
      </c>
      <c r="I33" s="142" t="s">
        <v>227</v>
      </c>
      <c r="J33" s="48"/>
    </row>
    <row r="34" spans="1:11" x14ac:dyDescent="0.2">
      <c r="A34" s="402"/>
      <c r="B34" s="402"/>
      <c r="C34" s="402"/>
      <c r="D34" s="402"/>
      <c r="E34" s="402"/>
      <c r="F34" s="402"/>
      <c r="G34" s="402"/>
      <c r="H34" s="402"/>
      <c r="I34" s="402"/>
      <c r="J34" s="48"/>
    </row>
    <row r="35" spans="1:11" x14ac:dyDescent="0.2">
      <c r="A35" s="394"/>
      <c r="B35" s="394"/>
      <c r="C35" s="394"/>
      <c r="D35" s="394"/>
      <c r="E35" s="394"/>
      <c r="F35" s="394"/>
      <c r="G35" s="394"/>
      <c r="H35" s="394"/>
      <c r="I35" s="394"/>
      <c r="J35" s="48"/>
    </row>
    <row r="36" spans="1:11" x14ac:dyDescent="0.2">
      <c r="A36" s="395" t="s">
        <v>61</v>
      </c>
      <c r="B36" s="395"/>
      <c r="C36" s="395"/>
      <c r="D36" s="395"/>
      <c r="E36" s="395"/>
      <c r="F36" s="395"/>
      <c r="G36" s="395"/>
      <c r="H36" s="395"/>
      <c r="I36" s="395"/>
      <c r="J36" s="48"/>
    </row>
    <row r="37" spans="1:11" x14ac:dyDescent="0.2">
      <c r="A37" s="70">
        <v>3</v>
      </c>
      <c r="B37" s="389" t="s">
        <v>62</v>
      </c>
      <c r="C37" s="389"/>
      <c r="D37" s="389"/>
      <c r="E37" s="389"/>
      <c r="F37" s="389"/>
      <c r="G37" s="389"/>
      <c r="H37" s="70" t="s">
        <v>21</v>
      </c>
      <c r="I37" s="70" t="s">
        <v>22</v>
      </c>
      <c r="J37" s="48"/>
    </row>
    <row r="38" spans="1:11" s="146" customFormat="1" ht="25.5" x14ac:dyDescent="0.2">
      <c r="A38" s="143" t="s">
        <v>1</v>
      </c>
      <c r="B38" s="514" t="s">
        <v>63</v>
      </c>
      <c r="C38" s="514"/>
      <c r="D38" s="514"/>
      <c r="E38" s="514"/>
      <c r="F38" s="514"/>
      <c r="G38" s="514"/>
      <c r="H38" s="148">
        <v>4.1999999999999997E-3</v>
      </c>
      <c r="I38" s="144" t="s">
        <v>228</v>
      </c>
      <c r="J38" s="145"/>
    </row>
    <row r="39" spans="1:11" x14ac:dyDescent="0.2">
      <c r="A39" s="70" t="s">
        <v>3</v>
      </c>
      <c r="B39" s="373" t="s">
        <v>64</v>
      </c>
      <c r="C39" s="373"/>
      <c r="D39" s="373"/>
      <c r="E39" s="373"/>
      <c r="F39" s="373"/>
      <c r="G39" s="373"/>
      <c r="H39" s="17">
        <f>H26*H38</f>
        <v>3.3599999999999998E-4</v>
      </c>
      <c r="I39" s="5"/>
      <c r="J39" s="48"/>
    </row>
    <row r="40" spans="1:11" ht="25.5" x14ac:dyDescent="0.2">
      <c r="A40" s="70" t="s">
        <v>5</v>
      </c>
      <c r="B40" s="373" t="s">
        <v>65</v>
      </c>
      <c r="C40" s="373"/>
      <c r="D40" s="373"/>
      <c r="E40" s="373"/>
      <c r="F40" s="373"/>
      <c r="G40" s="373"/>
      <c r="H40" s="18">
        <v>0.02</v>
      </c>
      <c r="I40" s="138" t="s">
        <v>232</v>
      </c>
      <c r="J40" s="48"/>
    </row>
    <row r="41" spans="1:11" s="146" customFormat="1" ht="25.5" x14ac:dyDescent="0.2">
      <c r="A41" s="143" t="s">
        <v>7</v>
      </c>
      <c r="B41" s="514" t="s">
        <v>66</v>
      </c>
      <c r="C41" s="514"/>
      <c r="D41" s="514"/>
      <c r="E41" s="514"/>
      <c r="F41" s="514"/>
      <c r="G41" s="514"/>
      <c r="H41" s="149">
        <v>1.9400000000000001E-2</v>
      </c>
      <c r="I41" s="147" t="s">
        <v>229</v>
      </c>
      <c r="J41" s="145"/>
    </row>
    <row r="42" spans="1:11" x14ac:dyDescent="0.2">
      <c r="A42" s="70" t="s">
        <v>27</v>
      </c>
      <c r="B42" s="373" t="s">
        <v>67</v>
      </c>
      <c r="C42" s="373"/>
      <c r="D42" s="373"/>
      <c r="E42" s="373"/>
      <c r="F42" s="373"/>
      <c r="G42" s="373"/>
      <c r="H42" s="19">
        <f>(35.81%*1.94%)</f>
        <v>6.947140000000001E-3</v>
      </c>
      <c r="I42" s="5"/>
      <c r="J42" s="48"/>
    </row>
    <row r="43" spans="1:11" ht="25.5" x14ac:dyDescent="0.2">
      <c r="A43" s="70" t="s">
        <v>29</v>
      </c>
      <c r="B43" s="373" t="s">
        <v>68</v>
      </c>
      <c r="C43" s="373"/>
      <c r="D43" s="373"/>
      <c r="E43" s="373"/>
      <c r="F43" s="373"/>
      <c r="G43" s="373"/>
      <c r="H43" s="54">
        <v>0.02</v>
      </c>
      <c r="I43" s="138" t="s">
        <v>232</v>
      </c>
      <c r="J43" s="48"/>
      <c r="K43" s="20"/>
    </row>
    <row r="44" spans="1:11" x14ac:dyDescent="0.2">
      <c r="A44" s="389" t="s">
        <v>69</v>
      </c>
      <c r="B44" s="389"/>
      <c r="C44" s="389"/>
      <c r="D44" s="389"/>
      <c r="E44" s="389"/>
      <c r="F44" s="389"/>
      <c r="G44" s="389"/>
      <c r="H44" s="12">
        <f>TRUNC(SUM(H38:H43),4)</f>
        <v>7.0800000000000002E-2</v>
      </c>
      <c r="I44" s="13"/>
      <c r="J44" s="48"/>
    </row>
    <row r="45" spans="1:11" x14ac:dyDescent="0.2">
      <c r="A45" s="401"/>
      <c r="B45" s="401"/>
      <c r="C45" s="401"/>
      <c r="D45" s="401"/>
      <c r="E45" s="401"/>
      <c r="F45" s="401"/>
      <c r="G45" s="401"/>
      <c r="H45" s="401"/>
      <c r="I45" s="401"/>
      <c r="J45" s="48"/>
    </row>
    <row r="46" spans="1:11" x14ac:dyDescent="0.2">
      <c r="A46" s="395" t="s">
        <v>70</v>
      </c>
      <c r="B46" s="395"/>
      <c r="C46" s="395"/>
      <c r="D46" s="395"/>
      <c r="E46" s="395"/>
      <c r="F46" s="395"/>
      <c r="G46" s="395"/>
      <c r="H46" s="395"/>
      <c r="I46" s="395"/>
      <c r="J46" s="48"/>
    </row>
    <row r="47" spans="1:11" x14ac:dyDescent="0.2">
      <c r="A47" s="389" t="s">
        <v>71</v>
      </c>
      <c r="B47" s="389"/>
      <c r="C47" s="389"/>
      <c r="D47" s="389"/>
      <c r="E47" s="389"/>
      <c r="F47" s="389"/>
      <c r="G47" s="389"/>
      <c r="H47" s="70" t="s">
        <v>21</v>
      </c>
      <c r="I47" s="70" t="s">
        <v>22</v>
      </c>
      <c r="J47" s="48"/>
    </row>
    <row r="48" spans="1:11" s="146" customFormat="1" ht="25.5" x14ac:dyDescent="0.2">
      <c r="A48" s="139" t="s">
        <v>1</v>
      </c>
      <c r="B48" s="515" t="s">
        <v>186</v>
      </c>
      <c r="C48" s="515"/>
      <c r="D48" s="515"/>
      <c r="E48" s="515"/>
      <c r="F48" s="515"/>
      <c r="G48" s="515"/>
      <c r="H48" s="148">
        <v>8.3299999999999999E-2</v>
      </c>
      <c r="I48" s="147" t="s">
        <v>231</v>
      </c>
      <c r="J48" s="145"/>
    </row>
    <row r="49" spans="1:10" x14ac:dyDescent="0.2">
      <c r="A49" s="70" t="s">
        <v>3</v>
      </c>
      <c r="B49" s="373" t="s">
        <v>187</v>
      </c>
      <c r="C49" s="373"/>
      <c r="D49" s="373"/>
      <c r="E49" s="373"/>
      <c r="F49" s="373"/>
      <c r="G49" s="373"/>
      <c r="H49" s="148">
        <v>2.8E-3</v>
      </c>
      <c r="I49" s="144" t="s">
        <v>230</v>
      </c>
      <c r="J49" s="48"/>
    </row>
    <row r="50" spans="1:10" x14ac:dyDescent="0.2">
      <c r="A50" s="70" t="s">
        <v>5</v>
      </c>
      <c r="B50" s="373" t="s">
        <v>188</v>
      </c>
      <c r="C50" s="373"/>
      <c r="D50" s="373"/>
      <c r="E50" s="373"/>
      <c r="F50" s="373"/>
      <c r="G50" s="373"/>
      <c r="H50" s="17">
        <v>2.0000000000000001E-4</v>
      </c>
      <c r="I50" s="16" t="s">
        <v>233</v>
      </c>
      <c r="J50" s="48"/>
    </row>
    <row r="51" spans="1:10" s="146" customFormat="1" x14ac:dyDescent="0.2">
      <c r="A51" s="143" t="s">
        <v>7</v>
      </c>
      <c r="B51" s="514" t="s">
        <v>189</v>
      </c>
      <c r="C51" s="514"/>
      <c r="D51" s="514"/>
      <c r="E51" s="514"/>
      <c r="F51" s="514"/>
      <c r="G51" s="514"/>
      <c r="H51" s="148">
        <v>2.9999999999999997E-4</v>
      </c>
      <c r="I51" s="144" t="s">
        <v>234</v>
      </c>
      <c r="J51" s="145"/>
    </row>
    <row r="52" spans="1:10" x14ac:dyDescent="0.2">
      <c r="A52" s="70" t="s">
        <v>27</v>
      </c>
      <c r="B52" s="373" t="s">
        <v>190</v>
      </c>
      <c r="C52" s="373"/>
      <c r="D52" s="373"/>
      <c r="E52" s="373"/>
      <c r="F52" s="373"/>
      <c r="G52" s="373"/>
      <c r="H52" s="17">
        <v>6.9999999999999999E-4</v>
      </c>
      <c r="I52" s="16" t="s">
        <v>235</v>
      </c>
      <c r="J52" s="48"/>
    </row>
    <row r="53" spans="1:10" x14ac:dyDescent="0.2">
      <c r="A53" s="70" t="s">
        <v>29</v>
      </c>
      <c r="B53" s="397" t="s">
        <v>191</v>
      </c>
      <c r="C53" s="398"/>
      <c r="D53" s="398"/>
      <c r="E53" s="398"/>
      <c r="F53" s="398"/>
      <c r="G53" s="399"/>
      <c r="H53" s="17">
        <v>0</v>
      </c>
      <c r="I53" s="16"/>
      <c r="J53" s="48"/>
    </row>
    <row r="54" spans="1:10" x14ac:dyDescent="0.2">
      <c r="A54" s="400"/>
      <c r="B54" s="400"/>
      <c r="C54" s="400"/>
      <c r="D54" s="400"/>
      <c r="E54" s="400"/>
      <c r="F54" s="400"/>
      <c r="G54" s="400"/>
      <c r="H54" s="400"/>
      <c r="I54" s="400"/>
      <c r="J54" s="48"/>
    </row>
    <row r="55" spans="1:10" x14ac:dyDescent="0.2">
      <c r="A55" s="389" t="s">
        <v>73</v>
      </c>
      <c r="B55" s="389"/>
      <c r="C55" s="389"/>
      <c r="D55" s="389"/>
      <c r="E55" s="389"/>
      <c r="F55" s="389"/>
      <c r="G55" s="389"/>
      <c r="H55" s="70" t="s">
        <v>21</v>
      </c>
      <c r="I55" s="70" t="s">
        <v>22</v>
      </c>
      <c r="J55" s="48"/>
    </row>
    <row r="56" spans="1:10" x14ac:dyDescent="0.2">
      <c r="A56" s="70" t="s">
        <v>1</v>
      </c>
      <c r="B56" s="373" t="s">
        <v>192</v>
      </c>
      <c r="C56" s="373"/>
      <c r="D56" s="373"/>
      <c r="E56" s="373"/>
      <c r="F56" s="373"/>
      <c r="G56" s="373"/>
      <c r="H56" s="17">
        <v>0</v>
      </c>
      <c r="I56" s="5"/>
      <c r="J56" s="48"/>
    </row>
    <row r="57" spans="1:10" x14ac:dyDescent="0.2">
      <c r="A57" s="396"/>
      <c r="B57" s="396"/>
      <c r="C57" s="396"/>
      <c r="D57" s="396"/>
      <c r="E57" s="396"/>
      <c r="F57" s="396"/>
      <c r="G57" s="396"/>
      <c r="H57" s="396"/>
      <c r="I57" s="396"/>
      <c r="J57" s="48"/>
    </row>
    <row r="58" spans="1:10" x14ac:dyDescent="0.2">
      <c r="A58" s="394"/>
      <c r="B58" s="394"/>
      <c r="C58" s="394"/>
      <c r="D58" s="394"/>
      <c r="E58" s="394"/>
      <c r="F58" s="394"/>
      <c r="G58" s="394"/>
      <c r="H58" s="394"/>
      <c r="I58" s="394"/>
      <c r="J58" s="48"/>
    </row>
    <row r="59" spans="1:10" x14ac:dyDescent="0.2">
      <c r="A59" s="395" t="s">
        <v>80</v>
      </c>
      <c r="B59" s="395"/>
      <c r="C59" s="395"/>
      <c r="D59" s="395"/>
      <c r="E59" s="395"/>
      <c r="F59" s="395"/>
      <c r="G59" s="395"/>
      <c r="H59" s="395"/>
      <c r="I59" s="395"/>
      <c r="J59" s="48"/>
    </row>
    <row r="60" spans="1:10" x14ac:dyDescent="0.2">
      <c r="A60" s="70">
        <v>5</v>
      </c>
      <c r="B60" s="389" t="s">
        <v>81</v>
      </c>
      <c r="C60" s="389"/>
      <c r="D60" s="389"/>
      <c r="E60" s="389"/>
      <c r="F60" s="389"/>
      <c r="G60" s="389"/>
      <c r="H60" s="70"/>
      <c r="I60" s="70" t="s">
        <v>22</v>
      </c>
      <c r="J60" s="48"/>
    </row>
    <row r="61" spans="1:10" x14ac:dyDescent="0.2">
      <c r="A61" s="70" t="s">
        <v>1</v>
      </c>
      <c r="B61" s="393" t="s">
        <v>82</v>
      </c>
      <c r="C61" s="393"/>
      <c r="D61" s="393"/>
      <c r="E61" s="393"/>
      <c r="F61" s="393"/>
      <c r="G61" s="393"/>
      <c r="H61" s="69" t="s">
        <v>50</v>
      </c>
      <c r="I61" s="332"/>
      <c r="J61" s="48"/>
    </row>
    <row r="62" spans="1:10" x14ac:dyDescent="0.2">
      <c r="A62" s="70" t="s">
        <v>3</v>
      </c>
      <c r="B62" s="393" t="s">
        <v>83</v>
      </c>
      <c r="C62" s="393"/>
      <c r="D62" s="393"/>
      <c r="E62" s="393"/>
      <c r="F62" s="393"/>
      <c r="G62" s="393"/>
      <c r="H62" s="69" t="s">
        <v>50</v>
      </c>
      <c r="I62" s="332"/>
      <c r="J62" s="48"/>
    </row>
    <row r="63" spans="1:10" x14ac:dyDescent="0.2">
      <c r="A63" s="21" t="s">
        <v>5</v>
      </c>
      <c r="B63" s="393" t="s">
        <v>84</v>
      </c>
      <c r="C63" s="393"/>
      <c r="D63" s="393"/>
      <c r="E63" s="393"/>
      <c r="F63" s="393"/>
      <c r="G63" s="393"/>
      <c r="H63" s="69" t="s">
        <v>50</v>
      </c>
      <c r="I63" s="332"/>
      <c r="J63" s="48"/>
    </row>
    <row r="64" spans="1:10" x14ac:dyDescent="0.2">
      <c r="A64" s="21" t="s">
        <v>7</v>
      </c>
      <c r="B64" s="393" t="s">
        <v>128</v>
      </c>
      <c r="C64" s="393"/>
      <c r="D64" s="393"/>
      <c r="E64" s="393"/>
      <c r="F64" s="393"/>
      <c r="G64" s="393"/>
      <c r="H64" s="69" t="s">
        <v>50</v>
      </c>
      <c r="I64" s="332"/>
      <c r="J64" s="48"/>
    </row>
    <row r="65" spans="1:13" x14ac:dyDescent="0.2">
      <c r="A65" s="389" t="s">
        <v>85</v>
      </c>
      <c r="B65" s="389"/>
      <c r="C65" s="389"/>
      <c r="D65" s="389"/>
      <c r="E65" s="389"/>
      <c r="F65" s="389"/>
      <c r="G65" s="389"/>
      <c r="H65" s="12" t="s">
        <v>50</v>
      </c>
      <c r="I65" s="13">
        <f>(SUM(I61:I64))</f>
        <v>0</v>
      </c>
      <c r="J65" s="48"/>
    </row>
    <row r="66" spans="1:13" x14ac:dyDescent="0.2">
      <c r="A66" s="394"/>
      <c r="B66" s="394"/>
      <c r="C66" s="394"/>
      <c r="D66" s="394"/>
      <c r="E66" s="394"/>
      <c r="F66" s="394"/>
      <c r="G66" s="394"/>
      <c r="H66" s="394"/>
      <c r="I66" s="394"/>
      <c r="J66" s="48"/>
    </row>
    <row r="67" spans="1:13" x14ac:dyDescent="0.2">
      <c r="A67" s="395" t="s">
        <v>86</v>
      </c>
      <c r="B67" s="395"/>
      <c r="C67" s="395"/>
      <c r="D67" s="395"/>
      <c r="E67" s="395"/>
      <c r="F67" s="395"/>
      <c r="G67" s="395"/>
      <c r="H67" s="395"/>
      <c r="I67" s="395"/>
      <c r="J67" s="48"/>
    </row>
    <row r="68" spans="1:13" x14ac:dyDescent="0.2">
      <c r="A68" s="70">
        <v>6</v>
      </c>
      <c r="B68" s="389" t="s">
        <v>87</v>
      </c>
      <c r="C68" s="389"/>
      <c r="D68" s="389"/>
      <c r="E68" s="389"/>
      <c r="F68" s="389"/>
      <c r="G68" s="389"/>
      <c r="H68" s="70" t="s">
        <v>21</v>
      </c>
      <c r="I68" s="70" t="s">
        <v>22</v>
      </c>
      <c r="J68" s="48"/>
      <c r="K68" s="52"/>
    </row>
    <row r="69" spans="1:13" ht="12.75" customHeight="1" x14ac:dyDescent="0.2">
      <c r="A69" s="70" t="s">
        <v>1</v>
      </c>
      <c r="B69" s="373" t="s">
        <v>88</v>
      </c>
      <c r="C69" s="373"/>
      <c r="D69" s="373"/>
      <c r="E69" s="373"/>
      <c r="F69" s="373"/>
      <c r="G69" s="373"/>
      <c r="H69" s="22">
        <v>0.02</v>
      </c>
      <c r="I69" s="16" t="s">
        <v>236</v>
      </c>
      <c r="J69" s="48"/>
      <c r="M69" s="52"/>
    </row>
    <row r="70" spans="1:13" s="146" customFormat="1" ht="27" customHeight="1" x14ac:dyDescent="0.2">
      <c r="A70" s="143" t="s">
        <v>3</v>
      </c>
      <c r="B70" s="514" t="s">
        <v>89</v>
      </c>
      <c r="C70" s="514"/>
      <c r="D70" s="514"/>
      <c r="E70" s="514"/>
      <c r="F70" s="514"/>
      <c r="G70" s="514"/>
      <c r="H70" s="150">
        <v>0.01</v>
      </c>
      <c r="I70" s="144" t="s">
        <v>237</v>
      </c>
      <c r="J70" s="145"/>
    </row>
    <row r="71" spans="1:13" x14ac:dyDescent="0.2">
      <c r="A71" s="70" t="s">
        <v>5</v>
      </c>
      <c r="B71" s="392" t="s">
        <v>90</v>
      </c>
      <c r="C71" s="392"/>
      <c r="D71" s="392"/>
      <c r="E71" s="392"/>
      <c r="F71" s="392"/>
      <c r="G71" s="392"/>
      <c r="H71" s="23">
        <f>H72+H73+H74</f>
        <v>8.6499999999999994E-2</v>
      </c>
      <c r="I71" s="24"/>
      <c r="J71" s="48"/>
    </row>
    <row r="72" spans="1:13" x14ac:dyDescent="0.2">
      <c r="A72" s="70" t="s">
        <v>91</v>
      </c>
      <c r="B72" s="373" t="s">
        <v>239</v>
      </c>
      <c r="C72" s="373"/>
      <c r="D72" s="373"/>
      <c r="E72" s="373"/>
      <c r="F72" s="373"/>
      <c r="G72" s="373"/>
      <c r="H72" s="25">
        <v>6.4999999999999997E-3</v>
      </c>
      <c r="I72" s="519" t="s">
        <v>238</v>
      </c>
      <c r="J72" s="48"/>
      <c r="K72" s="65"/>
    </row>
    <row r="73" spans="1:13" x14ac:dyDescent="0.2">
      <c r="A73" s="70" t="s">
        <v>93</v>
      </c>
      <c r="B73" s="373" t="s">
        <v>240</v>
      </c>
      <c r="C73" s="373"/>
      <c r="D73" s="373"/>
      <c r="E73" s="373"/>
      <c r="F73" s="373"/>
      <c r="G73" s="373"/>
      <c r="H73" s="25">
        <v>0.03</v>
      </c>
      <c r="I73" s="520"/>
      <c r="J73" s="48"/>
    </row>
    <row r="74" spans="1:13" x14ac:dyDescent="0.2">
      <c r="A74" s="70" t="s">
        <v>95</v>
      </c>
      <c r="B74" s="373" t="s">
        <v>241</v>
      </c>
      <c r="C74" s="373"/>
      <c r="D74" s="373"/>
      <c r="E74" s="373"/>
      <c r="F74" s="373"/>
      <c r="G74" s="373"/>
      <c r="H74" s="25">
        <v>0.05</v>
      </c>
      <c r="I74" s="521"/>
      <c r="J74" s="48"/>
      <c r="K74" s="20"/>
    </row>
    <row r="75" spans="1:13" x14ac:dyDescent="0.2">
      <c r="A75" s="72"/>
      <c r="B75" s="390"/>
      <c r="C75" s="390"/>
      <c r="D75" s="390"/>
      <c r="E75" s="390"/>
      <c r="F75" s="390"/>
      <c r="G75" s="390"/>
      <c r="H75" s="390"/>
      <c r="I75" s="390"/>
    </row>
    <row r="76" spans="1:13" x14ac:dyDescent="0.2">
      <c r="A76" s="72"/>
      <c r="B76" s="72"/>
      <c r="C76" s="72"/>
      <c r="D76" s="72"/>
      <c r="E76" s="72"/>
      <c r="F76" s="72"/>
      <c r="G76" s="72"/>
      <c r="H76" s="72"/>
      <c r="I76" s="27"/>
    </row>
    <row r="77" spans="1:13" hidden="1" x14ac:dyDescent="0.2">
      <c r="A77" s="72"/>
      <c r="B77" s="379" t="s">
        <v>102</v>
      </c>
      <c r="C77" s="379"/>
      <c r="D77" s="379"/>
      <c r="E77" s="379"/>
      <c r="F77" s="379"/>
      <c r="G77" s="379"/>
      <c r="H77" s="8"/>
      <c r="I77" s="8"/>
      <c r="K77" s="51"/>
    </row>
    <row r="78" spans="1:13" ht="40.5" hidden="1" customHeight="1" x14ac:dyDescent="0.2">
      <c r="A78" s="385" t="s">
        <v>103</v>
      </c>
      <c r="B78" s="385"/>
      <c r="C78" s="385" t="s">
        <v>104</v>
      </c>
      <c r="D78" s="385"/>
      <c r="E78" s="385" t="s">
        <v>105</v>
      </c>
      <c r="F78" s="385"/>
      <c r="G78" s="28" t="s">
        <v>106</v>
      </c>
      <c r="H78" s="73" t="s">
        <v>107</v>
      </c>
      <c r="I78" s="75"/>
      <c r="K78" s="51"/>
    </row>
    <row r="79" spans="1:13" hidden="1" x14ac:dyDescent="0.2">
      <c r="A79" s="386" t="s">
        <v>108</v>
      </c>
      <c r="B79" s="386"/>
      <c r="C79" s="387" t="s">
        <v>109</v>
      </c>
      <c r="D79" s="387"/>
      <c r="E79" s="388"/>
      <c r="F79" s="388"/>
      <c r="G79" s="29" t="s">
        <v>109</v>
      </c>
      <c r="H79" s="30"/>
      <c r="I79" s="31"/>
      <c r="K79" s="51"/>
    </row>
    <row r="80" spans="1:13" hidden="1" x14ac:dyDescent="0.2">
      <c r="A80" s="381" t="s">
        <v>110</v>
      </c>
      <c r="B80" s="381"/>
      <c r="C80" s="382" t="s">
        <v>109</v>
      </c>
      <c r="D80" s="382"/>
      <c r="E80" s="383"/>
      <c r="F80" s="383"/>
      <c r="G80" s="32" t="s">
        <v>109</v>
      </c>
      <c r="H80" s="33"/>
      <c r="I80" s="34"/>
      <c r="K80" s="51"/>
    </row>
    <row r="81" spans="1:11" hidden="1" x14ac:dyDescent="0.2">
      <c r="A81" s="381" t="s">
        <v>111</v>
      </c>
      <c r="B81" s="381"/>
      <c r="C81" s="382" t="s">
        <v>109</v>
      </c>
      <c r="D81" s="382"/>
      <c r="E81" s="383"/>
      <c r="F81" s="383"/>
      <c r="G81" s="32" t="s">
        <v>109</v>
      </c>
      <c r="H81" s="33"/>
      <c r="I81" s="34"/>
      <c r="K81" s="51"/>
    </row>
    <row r="82" spans="1:11" hidden="1" x14ac:dyDescent="0.2">
      <c r="A82" s="381" t="s">
        <v>112</v>
      </c>
      <c r="B82" s="381"/>
      <c r="C82" s="382" t="s">
        <v>109</v>
      </c>
      <c r="D82" s="382"/>
      <c r="E82" s="383"/>
      <c r="F82" s="383"/>
      <c r="G82" s="32" t="s">
        <v>109</v>
      </c>
      <c r="H82" s="33"/>
      <c r="I82" s="34"/>
      <c r="K82" s="51"/>
    </row>
    <row r="83" spans="1:11" hidden="1" x14ac:dyDescent="0.2">
      <c r="A83" s="384"/>
      <c r="B83" s="384"/>
      <c r="C83" s="383"/>
      <c r="D83" s="383"/>
      <c r="E83" s="383"/>
      <c r="F83" s="383"/>
      <c r="G83" s="35"/>
      <c r="H83" s="36"/>
      <c r="I83" s="34"/>
      <c r="K83" s="51"/>
    </row>
    <row r="84" spans="1:11" ht="13.5" hidden="1" thickBot="1" x14ac:dyDescent="0.25">
      <c r="A84" s="376"/>
      <c r="B84" s="376"/>
      <c r="C84" s="377"/>
      <c r="D84" s="377"/>
      <c r="E84" s="377"/>
      <c r="F84" s="377"/>
      <c r="G84" s="37"/>
      <c r="H84" s="38"/>
      <c r="I84" s="39"/>
      <c r="K84" s="51"/>
    </row>
    <row r="85" spans="1:11" ht="13.5" hidden="1" thickBot="1" x14ac:dyDescent="0.25">
      <c r="A85" s="378" t="s">
        <v>113</v>
      </c>
      <c r="B85" s="378"/>
      <c r="C85" s="378"/>
      <c r="D85" s="378"/>
      <c r="E85" s="378"/>
      <c r="F85" s="378"/>
      <c r="G85" s="378"/>
      <c r="H85" s="378"/>
      <c r="I85" s="40"/>
      <c r="K85" s="51"/>
    </row>
    <row r="86" spans="1:11" x14ac:dyDescent="0.2">
      <c r="I86" s="20"/>
    </row>
    <row r="87" spans="1:11" hidden="1" x14ac:dyDescent="0.2">
      <c r="A87" s="72" t="s">
        <v>114</v>
      </c>
      <c r="B87" s="379" t="s">
        <v>115</v>
      </c>
      <c r="C87" s="379"/>
      <c r="D87" s="379"/>
      <c r="E87" s="379"/>
      <c r="F87" s="379"/>
      <c r="G87" s="379"/>
      <c r="H87" s="8"/>
      <c r="I87" s="8"/>
    </row>
    <row r="88" spans="1:11" hidden="1" x14ac:dyDescent="0.2">
      <c r="A88" s="380" t="s">
        <v>116</v>
      </c>
      <c r="B88" s="380"/>
      <c r="C88" s="380"/>
      <c r="D88" s="380"/>
      <c r="E88" s="380"/>
      <c r="F88" s="380"/>
      <c r="G88" s="380"/>
      <c r="H88" s="380"/>
      <c r="I88" s="380"/>
    </row>
    <row r="89" spans="1:11" ht="13.5" hidden="1" thickBot="1" x14ac:dyDescent="0.25">
      <c r="A89" s="74"/>
      <c r="B89" s="371" t="s">
        <v>117</v>
      </c>
      <c r="C89" s="371"/>
      <c r="D89" s="371"/>
      <c r="E89" s="371"/>
      <c r="F89" s="371"/>
      <c r="G89" s="371"/>
      <c r="H89" s="371"/>
      <c r="I89" s="75" t="s">
        <v>22</v>
      </c>
    </row>
    <row r="90" spans="1:11" hidden="1" x14ac:dyDescent="0.2">
      <c r="A90" s="41" t="s">
        <v>1</v>
      </c>
      <c r="B90" s="372" t="s">
        <v>118</v>
      </c>
      <c r="C90" s="372"/>
      <c r="D90" s="372"/>
      <c r="E90" s="372"/>
      <c r="F90" s="372"/>
      <c r="G90" s="372"/>
      <c r="H90" s="372"/>
      <c r="I90" s="42" t="str">
        <f>I72</f>
        <v>Percentual multiplicado sobre o total do faturamento</v>
      </c>
    </row>
    <row r="91" spans="1:11" hidden="1" x14ac:dyDescent="0.2">
      <c r="A91" s="43" t="s">
        <v>3</v>
      </c>
      <c r="B91" s="373" t="s">
        <v>119</v>
      </c>
      <c r="C91" s="373"/>
      <c r="D91" s="373"/>
      <c r="E91" s="373"/>
      <c r="F91" s="373"/>
      <c r="G91" s="373"/>
      <c r="H91" s="373"/>
      <c r="I91" s="44" t="e">
        <f>#REF!</f>
        <v>#REF!</v>
      </c>
    </row>
    <row r="92" spans="1:11" ht="13.5" hidden="1" thickBot="1" x14ac:dyDescent="0.25">
      <c r="A92" s="43" t="s">
        <v>5</v>
      </c>
      <c r="B92" s="374" t="s">
        <v>120</v>
      </c>
      <c r="C92" s="374"/>
      <c r="D92" s="374"/>
      <c r="E92" s="374"/>
      <c r="F92" s="374"/>
      <c r="G92" s="374"/>
      <c r="H92" s="374"/>
      <c r="I92" s="44" t="e">
        <f>#REF!</f>
        <v>#REF!</v>
      </c>
    </row>
    <row r="93" spans="1:11" ht="13.5" hidden="1" thickBot="1" x14ac:dyDescent="0.25">
      <c r="A93" s="375" t="s">
        <v>121</v>
      </c>
      <c r="B93" s="375"/>
      <c r="C93" s="375"/>
      <c r="D93" s="375"/>
      <c r="E93" s="375"/>
      <c r="F93" s="375"/>
      <c r="G93" s="375"/>
      <c r="H93" s="375"/>
      <c r="I93" s="40" t="e">
        <f>SUM(I90:I92)</f>
        <v>#REF!</v>
      </c>
    </row>
    <row r="94" spans="1:11" hidden="1" x14ac:dyDescent="0.2">
      <c r="A94" s="72" t="s">
        <v>122</v>
      </c>
      <c r="B94" s="45" t="s">
        <v>123</v>
      </c>
    </row>
  </sheetData>
  <mergeCells count="108">
    <mergeCell ref="B89:H89"/>
    <mergeCell ref="B90:H90"/>
    <mergeCell ref="B91:H91"/>
    <mergeCell ref="B92:H92"/>
    <mergeCell ref="A93:H93"/>
    <mergeCell ref="A84:B84"/>
    <mergeCell ref="C84:D84"/>
    <mergeCell ref="E84:F84"/>
    <mergeCell ref="A85:H85"/>
    <mergeCell ref="B87:G87"/>
    <mergeCell ref="A88:I88"/>
    <mergeCell ref="A82:B82"/>
    <mergeCell ref="C82:D82"/>
    <mergeCell ref="E82:F82"/>
    <mergeCell ref="A83:B83"/>
    <mergeCell ref="C83:D83"/>
    <mergeCell ref="E83:F83"/>
    <mergeCell ref="A80:B80"/>
    <mergeCell ref="C80:D80"/>
    <mergeCell ref="E80:F80"/>
    <mergeCell ref="A81:B81"/>
    <mergeCell ref="C81:D81"/>
    <mergeCell ref="E81:F81"/>
    <mergeCell ref="B77:G77"/>
    <mergeCell ref="A78:B78"/>
    <mergeCell ref="C78:D78"/>
    <mergeCell ref="E78:F78"/>
    <mergeCell ref="A79:B79"/>
    <mergeCell ref="C79:D79"/>
    <mergeCell ref="E79:F79"/>
    <mergeCell ref="B75:I75"/>
    <mergeCell ref="B69:G69"/>
    <mergeCell ref="B70:G70"/>
    <mergeCell ref="B71:G71"/>
    <mergeCell ref="B72:G72"/>
    <mergeCell ref="B73:G73"/>
    <mergeCell ref="B74:G74"/>
    <mergeCell ref="I72:I74"/>
    <mergeCell ref="B63:G63"/>
    <mergeCell ref="B64:G64"/>
    <mergeCell ref="A65:G65"/>
    <mergeCell ref="A66:I66"/>
    <mergeCell ref="A67:I67"/>
    <mergeCell ref="B68:G68"/>
    <mergeCell ref="A58:I58"/>
    <mergeCell ref="A59:I59"/>
    <mergeCell ref="B60:G60"/>
    <mergeCell ref="B61:G61"/>
    <mergeCell ref="B62:G62"/>
    <mergeCell ref="A57:I57"/>
    <mergeCell ref="B52:G52"/>
    <mergeCell ref="B53:G53"/>
    <mergeCell ref="A54:I54"/>
    <mergeCell ref="A55:G55"/>
    <mergeCell ref="B56:G56"/>
    <mergeCell ref="A46:I46"/>
    <mergeCell ref="A47:G47"/>
    <mergeCell ref="B48:G48"/>
    <mergeCell ref="B49:G49"/>
    <mergeCell ref="B50:G50"/>
    <mergeCell ref="B51:G51"/>
    <mergeCell ref="B40:G40"/>
    <mergeCell ref="B41:G41"/>
    <mergeCell ref="B42:G42"/>
    <mergeCell ref="B43:G43"/>
    <mergeCell ref="A44:G44"/>
    <mergeCell ref="A45:I45"/>
    <mergeCell ref="A35:I35"/>
    <mergeCell ref="A36:I36"/>
    <mergeCell ref="B37:G37"/>
    <mergeCell ref="B38:G38"/>
    <mergeCell ref="B39:G39"/>
    <mergeCell ref="A34:I34"/>
    <mergeCell ref="B29:G29"/>
    <mergeCell ref="B30:G30"/>
    <mergeCell ref="B31:G31"/>
    <mergeCell ref="B32:G32"/>
    <mergeCell ref="B33:G33"/>
    <mergeCell ref="B24:G24"/>
    <mergeCell ref="B25:G25"/>
    <mergeCell ref="B26:G26"/>
    <mergeCell ref="A27:I27"/>
    <mergeCell ref="A28:G28"/>
    <mergeCell ref="I19:I26"/>
    <mergeCell ref="B15:G15"/>
    <mergeCell ref="A17:I17"/>
    <mergeCell ref="A18:G18"/>
    <mergeCell ref="K18:K26"/>
    <mergeCell ref="B19:G19"/>
    <mergeCell ref="B20:G20"/>
    <mergeCell ref="B21:G21"/>
    <mergeCell ref="B22:G22"/>
    <mergeCell ref="B23:G23"/>
    <mergeCell ref="B16:G16"/>
    <mergeCell ref="I14:I16"/>
    <mergeCell ref="A2:I2"/>
    <mergeCell ref="B9:G9"/>
    <mergeCell ref="B10:G10"/>
    <mergeCell ref="A1:I1"/>
    <mergeCell ref="A12:I12"/>
    <mergeCell ref="A13:G13"/>
    <mergeCell ref="B14:G14"/>
    <mergeCell ref="B3:G3"/>
    <mergeCell ref="B4:G4"/>
    <mergeCell ref="B5:G5"/>
    <mergeCell ref="B6:G6"/>
    <mergeCell ref="B7:G7"/>
    <mergeCell ref="B8:G8"/>
  </mergeCells>
  <pageMargins left="0.25" right="0.25" top="0.75" bottom="0.75" header="0.3" footer="0.3"/>
  <pageSetup paperSize="9" firstPageNumber="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BF58D-E6E7-4D5C-A4AB-CBDE10225156}">
  <dimension ref="B3:F20"/>
  <sheetViews>
    <sheetView topLeftCell="A7" workbookViewId="0">
      <selection activeCell="E8" sqref="E8"/>
    </sheetView>
  </sheetViews>
  <sheetFormatPr defaultColWidth="38.140625" defaultRowHeight="15" x14ac:dyDescent="0.2"/>
  <cols>
    <col min="1" max="1" width="21.85546875" style="211" customWidth="1"/>
    <col min="2" max="2" width="19.140625" style="211" customWidth="1"/>
    <col min="3" max="3" width="38.140625" style="211"/>
    <col min="4" max="4" width="19.7109375" style="211" customWidth="1"/>
    <col min="5" max="5" width="25.85546875" style="211" customWidth="1"/>
    <col min="6" max="6" width="28.5703125" style="211" customWidth="1"/>
    <col min="7" max="16384" width="38.140625" style="211"/>
  </cols>
  <sheetData>
    <row r="3" spans="2:6" ht="31.5" x14ac:dyDescent="0.2">
      <c r="B3" s="208" t="s">
        <v>252</v>
      </c>
      <c r="C3" s="209" t="s">
        <v>251</v>
      </c>
      <c r="D3" s="210" t="s">
        <v>253</v>
      </c>
      <c r="E3" s="210" t="s">
        <v>254</v>
      </c>
      <c r="F3" s="210" t="s">
        <v>255</v>
      </c>
    </row>
    <row r="4" spans="2:6" ht="75" x14ac:dyDescent="0.2">
      <c r="B4" s="215">
        <v>1</v>
      </c>
      <c r="C4" s="216" t="s">
        <v>256</v>
      </c>
      <c r="D4" s="212">
        <v>1</v>
      </c>
      <c r="E4" s="213">
        <v>45</v>
      </c>
      <c r="F4" s="213">
        <f>E4*D4</f>
        <v>45</v>
      </c>
    </row>
    <row r="5" spans="2:6" ht="75" x14ac:dyDescent="0.2">
      <c r="B5" s="217">
        <v>2</v>
      </c>
      <c r="C5" s="218" t="s">
        <v>257</v>
      </c>
      <c r="D5" s="214">
        <v>2</v>
      </c>
      <c r="E5" s="213">
        <v>35</v>
      </c>
      <c r="F5" s="213">
        <f t="shared" ref="F5:F8" si="0">E5*D5</f>
        <v>70</v>
      </c>
    </row>
    <row r="6" spans="2:6" x14ac:dyDescent="0.2">
      <c r="B6" s="217">
        <v>3</v>
      </c>
      <c r="C6" s="218" t="s">
        <v>258</v>
      </c>
      <c r="D6" s="214">
        <v>2</v>
      </c>
      <c r="E6" s="213">
        <v>7</v>
      </c>
      <c r="F6" s="213">
        <f t="shared" si="0"/>
        <v>14</v>
      </c>
    </row>
    <row r="7" spans="2:6" ht="45" x14ac:dyDescent="0.2">
      <c r="B7" s="219">
        <v>4</v>
      </c>
      <c r="C7" s="220" t="s">
        <v>259</v>
      </c>
      <c r="D7" s="221">
        <v>1</v>
      </c>
      <c r="E7" s="213">
        <v>37</v>
      </c>
      <c r="F7" s="213">
        <f t="shared" si="0"/>
        <v>37</v>
      </c>
    </row>
    <row r="8" spans="2:6" ht="30" x14ac:dyDescent="0.2">
      <c r="B8" s="222">
        <v>5</v>
      </c>
      <c r="C8" s="210" t="s">
        <v>260</v>
      </c>
      <c r="D8" s="223">
        <v>1</v>
      </c>
      <c r="E8" s="213">
        <v>6</v>
      </c>
      <c r="F8" s="213">
        <f t="shared" si="0"/>
        <v>6</v>
      </c>
    </row>
    <row r="9" spans="2:6" ht="15.75" x14ac:dyDescent="0.2">
      <c r="B9" s="522" t="s">
        <v>261</v>
      </c>
      <c r="C9" s="522"/>
      <c r="D9" s="522"/>
      <c r="E9" s="523"/>
      <c r="F9" s="224">
        <f>SUM(F4:F8)</f>
        <v>172</v>
      </c>
    </row>
    <row r="10" spans="2:6" ht="15.75" x14ac:dyDescent="0.2">
      <c r="B10" s="524"/>
      <c r="C10" s="524"/>
      <c r="D10" s="524"/>
      <c r="E10" s="525"/>
      <c r="F10" s="224">
        <f>F9/6</f>
        <v>28.666666666666668</v>
      </c>
    </row>
    <row r="12" spans="2:6" ht="31.5" x14ac:dyDescent="0.2">
      <c r="B12" s="208" t="s">
        <v>252</v>
      </c>
      <c r="C12" s="208" t="s">
        <v>262</v>
      </c>
      <c r="D12" s="210" t="s">
        <v>253</v>
      </c>
      <c r="E12" s="210" t="s">
        <v>254</v>
      </c>
      <c r="F12" s="210" t="s">
        <v>255</v>
      </c>
    </row>
    <row r="13" spans="2:6" ht="45" x14ac:dyDescent="0.2">
      <c r="B13" s="215">
        <v>1</v>
      </c>
      <c r="C13" s="216" t="s">
        <v>263</v>
      </c>
      <c r="D13" s="212">
        <v>1</v>
      </c>
      <c r="E13" s="213">
        <v>50</v>
      </c>
      <c r="F13" s="213">
        <f t="shared" ref="F13:F18" si="1">E13*D13</f>
        <v>50</v>
      </c>
    </row>
    <row r="14" spans="2:6" ht="90" x14ac:dyDescent="0.2">
      <c r="B14" s="217">
        <v>2</v>
      </c>
      <c r="C14" s="218" t="s">
        <v>264</v>
      </c>
      <c r="D14" s="214">
        <v>2</v>
      </c>
      <c r="E14" s="213">
        <v>50</v>
      </c>
      <c r="F14" s="213">
        <f t="shared" si="1"/>
        <v>100</v>
      </c>
    </row>
    <row r="15" spans="2:6" x14ac:dyDescent="0.2">
      <c r="B15" s="217">
        <v>3</v>
      </c>
      <c r="C15" s="218" t="s">
        <v>265</v>
      </c>
      <c r="D15" s="214">
        <v>1</v>
      </c>
      <c r="E15" s="213">
        <v>25</v>
      </c>
      <c r="F15" s="213">
        <f t="shared" si="1"/>
        <v>25</v>
      </c>
    </row>
    <row r="16" spans="2:6" x14ac:dyDescent="0.2">
      <c r="B16" s="217">
        <v>4</v>
      </c>
      <c r="C16" s="218" t="s">
        <v>266</v>
      </c>
      <c r="D16" s="214">
        <v>2</v>
      </c>
      <c r="E16" s="213">
        <v>8</v>
      </c>
      <c r="F16" s="213">
        <f t="shared" si="1"/>
        <v>16</v>
      </c>
    </row>
    <row r="17" spans="2:6" ht="30" x14ac:dyDescent="0.2">
      <c r="B17" s="219">
        <v>5</v>
      </c>
      <c r="C17" s="220" t="s">
        <v>267</v>
      </c>
      <c r="D17" s="221">
        <v>1</v>
      </c>
      <c r="E17" s="213">
        <v>50</v>
      </c>
      <c r="F17" s="213">
        <f t="shared" si="1"/>
        <v>50</v>
      </c>
    </row>
    <row r="18" spans="2:6" ht="30" x14ac:dyDescent="0.2">
      <c r="B18" s="222">
        <v>6</v>
      </c>
      <c r="C18" s="210" t="s">
        <v>260</v>
      </c>
      <c r="D18" s="223">
        <v>1</v>
      </c>
      <c r="E18" s="213">
        <v>6</v>
      </c>
      <c r="F18" s="213">
        <f t="shared" si="1"/>
        <v>6</v>
      </c>
    </row>
    <row r="19" spans="2:6" ht="15.75" x14ac:dyDescent="0.2">
      <c r="B19" s="522" t="s">
        <v>261</v>
      </c>
      <c r="C19" s="522"/>
      <c r="D19" s="522"/>
      <c r="E19" s="523"/>
      <c r="F19" s="224">
        <f>SUM(F13:F18)</f>
        <v>247</v>
      </c>
    </row>
    <row r="20" spans="2:6" ht="15.75" x14ac:dyDescent="0.2">
      <c r="B20" s="524"/>
      <c r="C20" s="524"/>
      <c r="D20" s="524"/>
      <c r="E20" s="525"/>
      <c r="F20" s="224">
        <f>F19/6</f>
        <v>41.166666666666664</v>
      </c>
    </row>
  </sheetData>
  <mergeCells count="2">
    <mergeCell ref="B9:E10"/>
    <mergeCell ref="B19:E20"/>
  </mergeCells>
  <pageMargins left="0.511811024" right="0.511811024" top="0.78740157499999996" bottom="0.78740157499999996" header="0.31496062000000002" footer="0.3149606200000000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732BF-4B2E-42B1-BD64-8A590B03D639}">
  <dimension ref="B2:K131"/>
  <sheetViews>
    <sheetView topLeftCell="A78" workbookViewId="0">
      <selection activeCell="G81" sqref="G81"/>
    </sheetView>
  </sheetViews>
  <sheetFormatPr defaultRowHeight="15" x14ac:dyDescent="0.2"/>
  <cols>
    <col min="1" max="3" width="9.140625" style="225"/>
    <col min="4" max="4" width="34.42578125" style="225" customWidth="1"/>
    <col min="5" max="5" width="39.85546875" style="225" customWidth="1"/>
    <col min="6" max="6" width="13.28515625" style="225" customWidth="1"/>
    <col min="7" max="7" width="12" style="225" customWidth="1"/>
    <col min="8" max="8" width="15.85546875" style="51" bestFit="1" customWidth="1"/>
    <col min="9" max="9" width="17.7109375" style="225" bestFit="1" customWidth="1"/>
    <col min="10" max="10" width="14.28515625" style="225" bestFit="1" customWidth="1"/>
    <col min="11" max="11" width="19.7109375" style="225" bestFit="1" customWidth="1"/>
    <col min="12" max="16384" width="9.140625" style="225"/>
  </cols>
  <sheetData>
    <row r="2" spans="2:8" ht="15.75" x14ac:dyDescent="0.25">
      <c r="B2" s="559" t="s">
        <v>430</v>
      </c>
      <c r="C2" s="559"/>
      <c r="D2" s="559"/>
      <c r="E2" s="559"/>
      <c r="F2" s="559"/>
      <c r="G2" s="559"/>
      <c r="H2" s="559"/>
    </row>
    <row r="3" spans="2:8" ht="31.5" x14ac:dyDescent="0.2">
      <c r="B3" s="275" t="s">
        <v>268</v>
      </c>
      <c r="C3" s="275" t="s">
        <v>269</v>
      </c>
      <c r="D3" s="275" t="s">
        <v>270</v>
      </c>
      <c r="E3" s="275" t="s">
        <v>271</v>
      </c>
      <c r="F3" s="276" t="s">
        <v>272</v>
      </c>
      <c r="G3" s="277" t="s">
        <v>273</v>
      </c>
      <c r="H3" s="278" t="s">
        <v>431</v>
      </c>
    </row>
    <row r="4" spans="2:8" ht="94.5" x14ac:dyDescent="0.2">
      <c r="B4" s="229">
        <v>1</v>
      </c>
      <c r="C4" s="230" t="s">
        <v>269</v>
      </c>
      <c r="D4" s="231" t="s">
        <v>274</v>
      </c>
      <c r="E4" s="230" t="s">
        <v>275</v>
      </c>
      <c r="F4" s="232">
        <v>12</v>
      </c>
      <c r="G4" s="233">
        <v>30</v>
      </c>
      <c r="H4" s="279">
        <f>G4*F4</f>
        <v>360</v>
      </c>
    </row>
    <row r="5" spans="2:8" ht="94.5" x14ac:dyDescent="0.2">
      <c r="B5" s="234">
        <v>2</v>
      </c>
      <c r="C5" s="235" t="s">
        <v>269</v>
      </c>
      <c r="D5" s="236" t="s">
        <v>276</v>
      </c>
      <c r="E5" s="235" t="s">
        <v>277</v>
      </c>
      <c r="F5" s="237">
        <v>12</v>
      </c>
      <c r="G5" s="238">
        <v>20</v>
      </c>
      <c r="H5" s="279">
        <f t="shared" ref="H5:H26" si="0">G5*F5</f>
        <v>240</v>
      </c>
    </row>
    <row r="6" spans="2:8" ht="47.25" x14ac:dyDescent="0.2">
      <c r="B6" s="234">
        <v>3</v>
      </c>
      <c r="C6" s="235" t="s">
        <v>269</v>
      </c>
      <c r="D6" s="239" t="s">
        <v>278</v>
      </c>
      <c r="E6" s="235" t="s">
        <v>279</v>
      </c>
      <c r="F6" s="237">
        <v>18</v>
      </c>
      <c r="G6" s="238">
        <v>30</v>
      </c>
      <c r="H6" s="279">
        <f t="shared" si="0"/>
        <v>540</v>
      </c>
    </row>
    <row r="7" spans="2:8" ht="47.25" x14ac:dyDescent="0.2">
      <c r="B7" s="234">
        <v>4</v>
      </c>
      <c r="C7" s="235" t="s">
        <v>269</v>
      </c>
      <c r="D7" s="239" t="s">
        <v>280</v>
      </c>
      <c r="E7" s="235" t="s">
        <v>279</v>
      </c>
      <c r="F7" s="237">
        <v>18</v>
      </c>
      <c r="G7" s="238">
        <v>28</v>
      </c>
      <c r="H7" s="279">
        <f t="shared" si="0"/>
        <v>504</v>
      </c>
    </row>
    <row r="8" spans="2:8" ht="47.25" x14ac:dyDescent="0.2">
      <c r="B8" s="234">
        <v>5</v>
      </c>
      <c r="C8" s="235" t="s">
        <v>269</v>
      </c>
      <c r="D8" s="239" t="s">
        <v>281</v>
      </c>
      <c r="E8" s="235" t="s">
        <v>282</v>
      </c>
      <c r="F8" s="237">
        <v>12</v>
      </c>
      <c r="G8" s="238">
        <v>30</v>
      </c>
      <c r="H8" s="279">
        <f t="shared" si="0"/>
        <v>360</v>
      </c>
    </row>
    <row r="9" spans="2:8" ht="63" x14ac:dyDescent="0.2">
      <c r="B9" s="240">
        <v>6</v>
      </c>
      <c r="C9" s="241" t="s">
        <v>269</v>
      </c>
      <c r="D9" s="239" t="s">
        <v>283</v>
      </c>
      <c r="E9" s="241" t="s">
        <v>275</v>
      </c>
      <c r="F9" s="242">
        <v>33</v>
      </c>
      <c r="G9" s="243">
        <v>70</v>
      </c>
      <c r="H9" s="279">
        <f t="shared" si="0"/>
        <v>2310</v>
      </c>
    </row>
    <row r="10" spans="2:8" ht="78.75" x14ac:dyDescent="0.2">
      <c r="B10" s="240">
        <v>7</v>
      </c>
      <c r="C10" s="241" t="s">
        <v>269</v>
      </c>
      <c r="D10" s="236" t="s">
        <v>284</v>
      </c>
      <c r="E10" s="241" t="s">
        <v>285</v>
      </c>
      <c r="F10" s="242">
        <v>12</v>
      </c>
      <c r="G10" s="243">
        <v>30</v>
      </c>
      <c r="H10" s="279">
        <f t="shared" si="0"/>
        <v>360</v>
      </c>
    </row>
    <row r="11" spans="2:8" ht="47.25" x14ac:dyDescent="0.2">
      <c r="B11" s="234">
        <v>8</v>
      </c>
      <c r="C11" s="235" t="s">
        <v>269</v>
      </c>
      <c r="D11" s="239" t="s">
        <v>286</v>
      </c>
      <c r="E11" s="235" t="s">
        <v>287</v>
      </c>
      <c r="F11" s="237">
        <v>8</v>
      </c>
      <c r="G11" s="238">
        <v>400</v>
      </c>
      <c r="H11" s="279">
        <f t="shared" si="0"/>
        <v>3200</v>
      </c>
    </row>
    <row r="12" spans="2:8" ht="78.75" x14ac:dyDescent="0.2">
      <c r="B12" s="240">
        <v>9</v>
      </c>
      <c r="C12" s="241" t="s">
        <v>269</v>
      </c>
      <c r="D12" s="236" t="s">
        <v>288</v>
      </c>
      <c r="E12" s="241" t="s">
        <v>275</v>
      </c>
      <c r="F12" s="242">
        <v>12</v>
      </c>
      <c r="G12" s="243">
        <v>25</v>
      </c>
      <c r="H12" s="279">
        <f t="shared" si="0"/>
        <v>300</v>
      </c>
    </row>
    <row r="13" spans="2:8" ht="78.75" x14ac:dyDescent="0.2">
      <c r="B13" s="240">
        <v>10</v>
      </c>
      <c r="C13" s="241" t="s">
        <v>269</v>
      </c>
      <c r="D13" s="236" t="s">
        <v>289</v>
      </c>
      <c r="E13" s="241" t="s">
        <v>275</v>
      </c>
      <c r="F13" s="242">
        <v>12</v>
      </c>
      <c r="G13" s="243">
        <v>28</v>
      </c>
      <c r="H13" s="279">
        <f t="shared" si="0"/>
        <v>336</v>
      </c>
    </row>
    <row r="14" spans="2:8" ht="31.5" x14ac:dyDescent="0.2">
      <c r="B14" s="234">
        <v>11</v>
      </c>
      <c r="C14" s="235" t="s">
        <v>269</v>
      </c>
      <c r="D14" s="239" t="s">
        <v>290</v>
      </c>
      <c r="E14" s="235" t="s">
        <v>291</v>
      </c>
      <c r="F14" s="237">
        <v>12</v>
      </c>
      <c r="G14" s="238">
        <v>15</v>
      </c>
      <c r="H14" s="279">
        <f t="shared" si="0"/>
        <v>180</v>
      </c>
    </row>
    <row r="15" spans="2:8" ht="47.25" x14ac:dyDescent="0.2">
      <c r="B15" s="234">
        <v>12</v>
      </c>
      <c r="C15" s="235" t="s">
        <v>269</v>
      </c>
      <c r="D15" s="236" t="s">
        <v>292</v>
      </c>
      <c r="E15" s="235" t="s">
        <v>291</v>
      </c>
      <c r="F15" s="237">
        <v>12</v>
      </c>
      <c r="G15" s="238">
        <v>20</v>
      </c>
      <c r="H15" s="279">
        <f t="shared" si="0"/>
        <v>240</v>
      </c>
    </row>
    <row r="16" spans="2:8" ht="94.5" x14ac:dyDescent="0.2">
      <c r="B16" s="234">
        <v>13</v>
      </c>
      <c r="C16" s="235" t="s">
        <v>269</v>
      </c>
      <c r="D16" s="236" t="s">
        <v>293</v>
      </c>
      <c r="E16" s="235" t="s">
        <v>275</v>
      </c>
      <c r="F16" s="237">
        <v>12</v>
      </c>
      <c r="G16" s="238">
        <v>20</v>
      </c>
      <c r="H16" s="279">
        <f t="shared" si="0"/>
        <v>240</v>
      </c>
    </row>
    <row r="17" spans="2:9" ht="94.5" x14ac:dyDescent="0.2">
      <c r="B17" s="240">
        <v>14</v>
      </c>
      <c r="C17" s="241" t="s">
        <v>269</v>
      </c>
      <c r="D17" s="236" t="s">
        <v>294</v>
      </c>
      <c r="E17" s="241" t="s">
        <v>275</v>
      </c>
      <c r="F17" s="242">
        <v>12</v>
      </c>
      <c r="G17" s="243">
        <v>20</v>
      </c>
      <c r="H17" s="279">
        <f t="shared" si="0"/>
        <v>240</v>
      </c>
    </row>
    <row r="18" spans="2:9" ht="47.25" x14ac:dyDescent="0.2">
      <c r="B18" s="234">
        <v>15</v>
      </c>
      <c r="C18" s="235" t="s">
        <v>269</v>
      </c>
      <c r="D18" s="239" t="s">
        <v>295</v>
      </c>
      <c r="E18" s="235" t="s">
        <v>275</v>
      </c>
      <c r="F18" s="237">
        <v>12</v>
      </c>
      <c r="G18" s="238">
        <v>20</v>
      </c>
      <c r="H18" s="279">
        <f t="shared" si="0"/>
        <v>240</v>
      </c>
    </row>
    <row r="19" spans="2:9" ht="78.75" x14ac:dyDescent="0.2">
      <c r="B19" s="240">
        <v>16</v>
      </c>
      <c r="C19" s="241" t="s">
        <v>269</v>
      </c>
      <c r="D19" s="236" t="s">
        <v>296</v>
      </c>
      <c r="E19" s="241" t="s">
        <v>275</v>
      </c>
      <c r="F19" s="242">
        <v>12</v>
      </c>
      <c r="G19" s="243">
        <v>50</v>
      </c>
      <c r="H19" s="279">
        <f t="shared" si="0"/>
        <v>600</v>
      </c>
    </row>
    <row r="20" spans="2:9" ht="31.5" x14ac:dyDescent="0.2">
      <c r="B20" s="234">
        <v>17</v>
      </c>
      <c r="C20" s="235" t="s">
        <v>269</v>
      </c>
      <c r="D20" s="235" t="s">
        <v>297</v>
      </c>
      <c r="E20" s="235" t="s">
        <v>298</v>
      </c>
      <c r="F20" s="237">
        <v>8</v>
      </c>
      <c r="G20" s="238">
        <v>80</v>
      </c>
      <c r="H20" s="279">
        <f t="shared" si="0"/>
        <v>640</v>
      </c>
    </row>
    <row r="21" spans="2:9" ht="31.5" x14ac:dyDescent="0.2">
      <c r="B21" s="234">
        <v>18</v>
      </c>
      <c r="C21" s="235" t="s">
        <v>269</v>
      </c>
      <c r="D21" s="239" t="s">
        <v>299</v>
      </c>
      <c r="E21" s="235" t="s">
        <v>300</v>
      </c>
      <c r="F21" s="237">
        <v>33</v>
      </c>
      <c r="G21" s="238">
        <v>10</v>
      </c>
      <c r="H21" s="279">
        <f t="shared" si="0"/>
        <v>330</v>
      </c>
    </row>
    <row r="22" spans="2:9" ht="47.25" x14ac:dyDescent="0.2">
      <c r="B22" s="234">
        <v>19</v>
      </c>
      <c r="C22" s="235" t="s">
        <v>269</v>
      </c>
      <c r="D22" s="239" t="s">
        <v>301</v>
      </c>
      <c r="E22" s="235" t="s">
        <v>275</v>
      </c>
      <c r="F22" s="237">
        <v>8</v>
      </c>
      <c r="G22" s="238">
        <v>100</v>
      </c>
      <c r="H22" s="279">
        <f t="shared" si="0"/>
        <v>800</v>
      </c>
    </row>
    <row r="23" spans="2:9" ht="47.25" x14ac:dyDescent="0.2">
      <c r="B23" s="240">
        <v>20</v>
      </c>
      <c r="C23" s="241" t="s">
        <v>269</v>
      </c>
      <c r="D23" s="239" t="s">
        <v>302</v>
      </c>
      <c r="E23" s="241" t="s">
        <v>275</v>
      </c>
      <c r="F23" s="242">
        <v>12</v>
      </c>
      <c r="G23" s="243">
        <v>33</v>
      </c>
      <c r="H23" s="279">
        <f t="shared" si="0"/>
        <v>396</v>
      </c>
    </row>
    <row r="24" spans="2:9" ht="47.25" x14ac:dyDescent="0.2">
      <c r="B24" s="234">
        <v>21</v>
      </c>
      <c r="C24" s="235" t="s">
        <v>269</v>
      </c>
      <c r="D24" s="236" t="s">
        <v>303</v>
      </c>
      <c r="E24" s="235" t="s">
        <v>275</v>
      </c>
      <c r="F24" s="237">
        <v>12</v>
      </c>
      <c r="G24" s="238">
        <v>50</v>
      </c>
      <c r="H24" s="279">
        <f t="shared" si="0"/>
        <v>600</v>
      </c>
    </row>
    <row r="25" spans="2:9" ht="47.25" x14ac:dyDescent="0.2">
      <c r="B25" s="285">
        <v>22</v>
      </c>
      <c r="C25" s="286" t="s">
        <v>269</v>
      </c>
      <c r="D25" s="287" t="s">
        <v>304</v>
      </c>
      <c r="E25" s="286" t="s">
        <v>275</v>
      </c>
      <c r="F25" s="288">
        <v>16</v>
      </c>
      <c r="G25" s="289">
        <v>10</v>
      </c>
      <c r="H25" s="290">
        <f t="shared" si="0"/>
        <v>160</v>
      </c>
    </row>
    <row r="26" spans="2:9" ht="31.5" x14ac:dyDescent="0.2">
      <c r="B26" s="291">
        <v>23</v>
      </c>
      <c r="C26" s="292" t="s">
        <v>269</v>
      </c>
      <c r="D26" s="293" t="s">
        <v>305</v>
      </c>
      <c r="E26" s="294" t="s">
        <v>275</v>
      </c>
      <c r="F26" s="291">
        <v>10</v>
      </c>
      <c r="G26" s="295">
        <v>45</v>
      </c>
      <c r="H26" s="137">
        <f t="shared" si="0"/>
        <v>450</v>
      </c>
      <c r="I26" s="247"/>
    </row>
    <row r="27" spans="2:9" ht="15.75" x14ac:dyDescent="0.2">
      <c r="B27" s="526" t="s">
        <v>306</v>
      </c>
      <c r="C27" s="526"/>
      <c r="D27" s="526"/>
      <c r="E27" s="526"/>
      <c r="F27" s="526"/>
      <c r="G27" s="526"/>
      <c r="H27" s="137">
        <f>SUM(H4:H26)</f>
        <v>13626</v>
      </c>
      <c r="I27" s="247"/>
    </row>
    <row r="28" spans="2:9" x14ac:dyDescent="0.2">
      <c r="B28" s="526" t="s">
        <v>432</v>
      </c>
      <c r="C28" s="560"/>
      <c r="D28" s="560"/>
      <c r="E28" s="560"/>
      <c r="F28" s="560"/>
      <c r="G28" s="560"/>
      <c r="H28" s="300">
        <f>H27/24/4</f>
        <v>141.9375</v>
      </c>
      <c r="I28" s="282"/>
    </row>
    <row r="29" spans="2:9" ht="15.75" x14ac:dyDescent="0.2">
      <c r="B29" s="527"/>
      <c r="C29" s="528"/>
      <c r="D29" s="283"/>
      <c r="E29" s="283"/>
      <c r="F29" s="283"/>
      <c r="G29" s="283"/>
      <c r="H29" s="284"/>
      <c r="I29" s="283"/>
    </row>
    <row r="30" spans="2:9" ht="15.75" x14ac:dyDescent="0.2">
      <c r="B30" s="529"/>
      <c r="C30" s="529"/>
      <c r="D30" s="529"/>
      <c r="E30" s="529"/>
      <c r="F30" s="529"/>
      <c r="G30" s="529"/>
      <c r="H30" s="529"/>
      <c r="I30" s="529"/>
    </row>
    <row r="31" spans="2:9" ht="15.75" x14ac:dyDescent="0.2">
      <c r="B31" s="530" t="s">
        <v>307</v>
      </c>
      <c r="C31" s="530"/>
      <c r="D31" s="530"/>
      <c r="E31" s="530"/>
      <c r="F31" s="530"/>
      <c r="G31" s="530"/>
      <c r="H31" s="530"/>
      <c r="I31" s="530"/>
    </row>
    <row r="32" spans="2:9" ht="31.5" x14ac:dyDescent="0.2">
      <c r="B32" s="226" t="s">
        <v>268</v>
      </c>
      <c r="C32" s="531" t="s">
        <v>269</v>
      </c>
      <c r="D32" s="532"/>
      <c r="E32" s="248" t="s">
        <v>270</v>
      </c>
      <c r="F32" s="226" t="s">
        <v>271</v>
      </c>
      <c r="G32" s="227" t="s">
        <v>272</v>
      </c>
      <c r="H32" s="279" t="s">
        <v>308</v>
      </c>
      <c r="I32" s="322" t="s">
        <v>306</v>
      </c>
    </row>
    <row r="33" spans="2:9" ht="15.75" x14ac:dyDescent="0.2">
      <c r="B33" s="229">
        <v>1</v>
      </c>
      <c r="C33" s="533" t="s">
        <v>309</v>
      </c>
      <c r="D33" s="534"/>
      <c r="E33" s="250" t="s">
        <v>310</v>
      </c>
      <c r="F33" s="230" t="s">
        <v>311</v>
      </c>
      <c r="G33" s="251">
        <v>700</v>
      </c>
      <c r="H33" s="280">
        <v>15</v>
      </c>
      <c r="I33" s="321">
        <f t="shared" ref="I33:I36" si="1">H33*G33</f>
        <v>10500</v>
      </c>
    </row>
    <row r="34" spans="2:9" ht="31.5" x14ac:dyDescent="0.2">
      <c r="B34" s="234">
        <v>2</v>
      </c>
      <c r="C34" s="535" t="s">
        <v>269</v>
      </c>
      <c r="D34" s="536"/>
      <c r="E34" s="239" t="s">
        <v>312</v>
      </c>
      <c r="F34" s="235" t="s">
        <v>313</v>
      </c>
      <c r="G34" s="252">
        <v>30</v>
      </c>
      <c r="H34" s="281">
        <v>10</v>
      </c>
      <c r="I34" s="321">
        <f t="shared" si="1"/>
        <v>300</v>
      </c>
    </row>
    <row r="35" spans="2:9" ht="31.5" x14ac:dyDescent="0.2">
      <c r="B35" s="234">
        <v>3</v>
      </c>
      <c r="C35" s="535" t="s">
        <v>269</v>
      </c>
      <c r="D35" s="536"/>
      <c r="E35" s="239" t="s">
        <v>314</v>
      </c>
      <c r="F35" s="235" t="s">
        <v>315</v>
      </c>
      <c r="G35" s="252">
        <v>30</v>
      </c>
      <c r="H35" s="281">
        <v>50</v>
      </c>
      <c r="I35" s="321">
        <f t="shared" si="1"/>
        <v>1500</v>
      </c>
    </row>
    <row r="36" spans="2:9" ht="31.5" x14ac:dyDescent="0.2">
      <c r="B36" s="323">
        <v>4</v>
      </c>
      <c r="C36" s="537" t="s">
        <v>316</v>
      </c>
      <c r="D36" s="538"/>
      <c r="E36" s="287" t="s">
        <v>317</v>
      </c>
      <c r="F36" s="324" t="s">
        <v>318</v>
      </c>
      <c r="G36" s="325">
        <v>40</v>
      </c>
      <c r="H36" s="326">
        <v>65</v>
      </c>
      <c r="I36" s="327">
        <f t="shared" si="1"/>
        <v>2600</v>
      </c>
    </row>
    <row r="37" spans="2:9" ht="15.75" x14ac:dyDescent="0.2">
      <c r="B37" s="526" t="s">
        <v>306</v>
      </c>
      <c r="C37" s="526"/>
      <c r="D37" s="526"/>
      <c r="E37" s="526"/>
      <c r="F37" s="526"/>
      <c r="G37" s="526"/>
      <c r="H37" s="526"/>
      <c r="I37" s="321">
        <f>SUM(I33:I36)</f>
        <v>14900</v>
      </c>
    </row>
    <row r="38" spans="2:9" x14ac:dyDescent="0.2">
      <c r="B38" s="561" t="s">
        <v>433</v>
      </c>
      <c r="C38" s="560"/>
      <c r="D38" s="560"/>
      <c r="E38" s="560"/>
      <c r="F38" s="560"/>
      <c r="G38" s="560"/>
      <c r="H38" s="560"/>
      <c r="I38" s="296">
        <f>I37/12/4</f>
        <v>310.41666666666669</v>
      </c>
    </row>
    <row r="39" spans="2:9" ht="15.75" x14ac:dyDescent="0.2">
      <c r="B39" s="298"/>
      <c r="C39" s="299"/>
      <c r="D39" s="299"/>
      <c r="E39" s="299"/>
      <c r="F39" s="299"/>
      <c r="G39" s="299"/>
      <c r="H39" s="299"/>
      <c r="I39" s="282"/>
    </row>
    <row r="40" spans="2:9" ht="15.75" x14ac:dyDescent="0.2">
      <c r="B40" s="298"/>
      <c r="C40" s="299"/>
      <c r="D40" s="299"/>
      <c r="E40" s="299"/>
      <c r="F40" s="299"/>
      <c r="G40" s="299"/>
      <c r="H40" s="299"/>
      <c r="I40" s="282"/>
    </row>
    <row r="41" spans="2:9" ht="15.75" x14ac:dyDescent="0.2">
      <c r="B41" s="530" t="s">
        <v>319</v>
      </c>
      <c r="C41" s="530"/>
      <c r="D41" s="530"/>
      <c r="E41" s="530"/>
      <c r="F41" s="530"/>
      <c r="G41" s="530"/>
      <c r="H41" s="530"/>
      <c r="I41" s="530"/>
    </row>
    <row r="42" spans="2:9" ht="31.5" x14ac:dyDescent="0.2">
      <c r="B42" s="226" t="s">
        <v>268</v>
      </c>
      <c r="C42" s="541" t="s">
        <v>269</v>
      </c>
      <c r="D42" s="542"/>
      <c r="E42" s="253" t="s">
        <v>270</v>
      </c>
      <c r="F42" s="226" t="s">
        <v>271</v>
      </c>
      <c r="G42" s="316" t="s">
        <v>272</v>
      </c>
      <c r="H42" s="320" t="s">
        <v>308</v>
      </c>
      <c r="I42" s="322" t="s">
        <v>306</v>
      </c>
    </row>
    <row r="43" spans="2:9" ht="94.5" x14ac:dyDescent="0.2">
      <c r="B43" s="254">
        <v>1</v>
      </c>
      <c r="C43" s="543" t="s">
        <v>269</v>
      </c>
      <c r="D43" s="544"/>
      <c r="E43" s="255" t="s">
        <v>320</v>
      </c>
      <c r="F43" s="256" t="s">
        <v>321</v>
      </c>
      <c r="G43" s="317">
        <v>4656</v>
      </c>
      <c r="H43" s="137">
        <v>4</v>
      </c>
      <c r="I43" s="321">
        <f>H43*G43</f>
        <v>18624</v>
      </c>
    </row>
    <row r="44" spans="2:9" ht="31.5" x14ac:dyDescent="0.2">
      <c r="B44" s="260">
        <v>2</v>
      </c>
      <c r="C44" s="539" t="s">
        <v>269</v>
      </c>
      <c r="D44" s="540"/>
      <c r="E44" s="261" t="s">
        <v>322</v>
      </c>
      <c r="F44" s="262" t="s">
        <v>323</v>
      </c>
      <c r="G44" s="318">
        <v>194</v>
      </c>
      <c r="H44" s="137">
        <v>5</v>
      </c>
      <c r="I44" s="321">
        <f t="shared" ref="I44:I57" si="2">H44*G44</f>
        <v>970</v>
      </c>
    </row>
    <row r="45" spans="2:9" ht="31.5" x14ac:dyDescent="0.2">
      <c r="B45" s="260">
        <v>3</v>
      </c>
      <c r="C45" s="539" t="s">
        <v>269</v>
      </c>
      <c r="D45" s="540"/>
      <c r="E45" s="261" t="s">
        <v>324</v>
      </c>
      <c r="F45" s="262" t="s">
        <v>325</v>
      </c>
      <c r="G45" s="318">
        <v>10</v>
      </c>
      <c r="H45" s="137">
        <v>15</v>
      </c>
      <c r="I45" s="321">
        <f t="shared" si="2"/>
        <v>150</v>
      </c>
    </row>
    <row r="46" spans="2:9" ht="63" x14ac:dyDescent="0.2">
      <c r="B46" s="254">
        <v>4</v>
      </c>
      <c r="C46" s="543" t="s">
        <v>269</v>
      </c>
      <c r="D46" s="544"/>
      <c r="E46" s="255" t="s">
        <v>326</v>
      </c>
      <c r="F46" s="256" t="s">
        <v>327</v>
      </c>
      <c r="G46" s="317">
        <v>10</v>
      </c>
      <c r="H46" s="137">
        <v>20</v>
      </c>
      <c r="I46" s="321">
        <f t="shared" si="2"/>
        <v>200</v>
      </c>
    </row>
    <row r="47" spans="2:9" ht="15.75" x14ac:dyDescent="0.2">
      <c r="B47" s="265">
        <v>5</v>
      </c>
      <c r="C47" s="545" t="s">
        <v>328</v>
      </c>
      <c r="D47" s="546"/>
      <c r="E47" s="266" t="s">
        <v>329</v>
      </c>
      <c r="F47" s="267" t="s">
        <v>330</v>
      </c>
      <c r="G47" s="319">
        <v>10</v>
      </c>
      <c r="H47" s="137">
        <v>30</v>
      </c>
      <c r="I47" s="321">
        <f t="shared" si="2"/>
        <v>300</v>
      </c>
    </row>
    <row r="48" spans="2:9" ht="15.75" x14ac:dyDescent="0.2">
      <c r="B48" s="265">
        <v>6</v>
      </c>
      <c r="C48" s="545" t="s">
        <v>269</v>
      </c>
      <c r="D48" s="546"/>
      <c r="E48" s="266" t="s">
        <v>331</v>
      </c>
      <c r="F48" s="267" t="s">
        <v>332</v>
      </c>
      <c r="G48" s="319">
        <v>10</v>
      </c>
      <c r="H48" s="137">
        <v>15</v>
      </c>
      <c r="I48" s="321">
        <f t="shared" si="2"/>
        <v>150</v>
      </c>
    </row>
    <row r="49" spans="2:9" ht="31.5" x14ac:dyDescent="0.2">
      <c r="B49" s="265">
        <v>7</v>
      </c>
      <c r="C49" s="545" t="s">
        <v>328</v>
      </c>
      <c r="D49" s="546"/>
      <c r="E49" s="266" t="s">
        <v>333</v>
      </c>
      <c r="F49" s="267" t="s">
        <v>334</v>
      </c>
      <c r="G49" s="319">
        <v>10</v>
      </c>
      <c r="H49" s="137">
        <v>5</v>
      </c>
      <c r="I49" s="321">
        <f t="shared" si="2"/>
        <v>50</v>
      </c>
    </row>
    <row r="50" spans="2:9" ht="31.5" x14ac:dyDescent="0.2">
      <c r="B50" s="260">
        <v>8</v>
      </c>
      <c r="C50" s="539" t="s">
        <v>328</v>
      </c>
      <c r="D50" s="540"/>
      <c r="E50" s="268" t="s">
        <v>335</v>
      </c>
      <c r="F50" s="267" t="s">
        <v>334</v>
      </c>
      <c r="G50" s="319">
        <v>10</v>
      </c>
      <c r="H50" s="137">
        <v>5</v>
      </c>
      <c r="I50" s="321">
        <f t="shared" si="2"/>
        <v>50</v>
      </c>
    </row>
    <row r="51" spans="2:9" ht="31.5" x14ac:dyDescent="0.2">
      <c r="B51" s="260">
        <v>9</v>
      </c>
      <c r="C51" s="539" t="s">
        <v>328</v>
      </c>
      <c r="D51" s="540"/>
      <c r="E51" s="261" t="s">
        <v>336</v>
      </c>
      <c r="F51" s="262" t="s">
        <v>337</v>
      </c>
      <c r="G51" s="318">
        <v>250</v>
      </c>
      <c r="H51" s="137">
        <v>5</v>
      </c>
      <c r="I51" s="321">
        <f t="shared" si="2"/>
        <v>1250</v>
      </c>
    </row>
    <row r="52" spans="2:9" ht="15.75" x14ac:dyDescent="0.2">
      <c r="B52" s="260">
        <v>10</v>
      </c>
      <c r="C52" s="539" t="s">
        <v>269</v>
      </c>
      <c r="D52" s="540"/>
      <c r="E52" s="261" t="s">
        <v>338</v>
      </c>
      <c r="F52" s="262" t="s">
        <v>339</v>
      </c>
      <c r="G52" s="318">
        <v>60</v>
      </c>
      <c r="H52" s="137">
        <v>5</v>
      </c>
      <c r="I52" s="321">
        <f t="shared" si="2"/>
        <v>300</v>
      </c>
    </row>
    <row r="53" spans="2:9" ht="31.5" x14ac:dyDescent="0.2">
      <c r="B53" s="260">
        <v>11</v>
      </c>
      <c r="C53" s="539" t="s">
        <v>269</v>
      </c>
      <c r="D53" s="540"/>
      <c r="E53" s="261" t="s">
        <v>340</v>
      </c>
      <c r="F53" s="262" t="s">
        <v>341</v>
      </c>
      <c r="G53" s="318">
        <v>10</v>
      </c>
      <c r="H53" s="137">
        <v>8</v>
      </c>
      <c r="I53" s="321">
        <f t="shared" si="2"/>
        <v>80</v>
      </c>
    </row>
    <row r="54" spans="2:9" ht="15.75" x14ac:dyDescent="0.2">
      <c r="B54" s="260">
        <v>12</v>
      </c>
      <c r="C54" s="539" t="s">
        <v>328</v>
      </c>
      <c r="D54" s="540"/>
      <c r="E54" s="261" t="s">
        <v>342</v>
      </c>
      <c r="F54" s="262" t="s">
        <v>343</v>
      </c>
      <c r="G54" s="318">
        <v>10</v>
      </c>
      <c r="H54" s="137">
        <v>7</v>
      </c>
      <c r="I54" s="321">
        <f t="shared" si="2"/>
        <v>70</v>
      </c>
    </row>
    <row r="55" spans="2:9" ht="47.25" x14ac:dyDescent="0.2">
      <c r="B55" s="260">
        <v>13</v>
      </c>
      <c r="C55" s="539" t="s">
        <v>269</v>
      </c>
      <c r="D55" s="540"/>
      <c r="E55" s="255" t="s">
        <v>344</v>
      </c>
      <c r="F55" s="262" t="s">
        <v>345</v>
      </c>
      <c r="G55" s="318">
        <v>10</v>
      </c>
      <c r="H55" s="137">
        <v>8</v>
      </c>
      <c r="I55" s="321">
        <f t="shared" si="2"/>
        <v>80</v>
      </c>
    </row>
    <row r="56" spans="2:9" ht="299.25" x14ac:dyDescent="0.2">
      <c r="B56" s="254">
        <v>14</v>
      </c>
      <c r="C56" s="543" t="s">
        <v>269</v>
      </c>
      <c r="D56" s="544"/>
      <c r="E56" s="261" t="s">
        <v>346</v>
      </c>
      <c r="F56" s="256" t="s">
        <v>347</v>
      </c>
      <c r="G56" s="317">
        <v>10</v>
      </c>
      <c r="H56" s="137">
        <v>100</v>
      </c>
      <c r="I56" s="321">
        <f t="shared" si="2"/>
        <v>1000</v>
      </c>
    </row>
    <row r="57" spans="2:9" ht="47.25" x14ac:dyDescent="0.2">
      <c r="B57" s="260">
        <v>15</v>
      </c>
      <c r="C57" s="539" t="s">
        <v>269</v>
      </c>
      <c r="D57" s="540"/>
      <c r="E57" s="255" t="s">
        <v>348</v>
      </c>
      <c r="F57" s="262" t="s">
        <v>349</v>
      </c>
      <c r="G57" s="318">
        <v>10</v>
      </c>
      <c r="H57" s="137">
        <v>15</v>
      </c>
      <c r="I57" s="321">
        <f t="shared" si="2"/>
        <v>150</v>
      </c>
    </row>
    <row r="58" spans="2:9" ht="15.75" customHeight="1" x14ac:dyDescent="0.2">
      <c r="B58" s="314" t="s">
        <v>306</v>
      </c>
      <c r="C58" s="315"/>
      <c r="D58" s="315"/>
      <c r="E58" s="315"/>
      <c r="F58" s="315"/>
      <c r="G58" s="315"/>
      <c r="H58" s="549">
        <f>SUM(I43:I57)</f>
        <v>23424</v>
      </c>
      <c r="I58" s="549"/>
    </row>
    <row r="59" spans="2:9" ht="15" customHeight="1" x14ac:dyDescent="0.2">
      <c r="B59" s="547" t="s">
        <v>434</v>
      </c>
      <c r="C59" s="548"/>
      <c r="D59" s="548"/>
      <c r="E59" s="548"/>
      <c r="F59" s="548"/>
      <c r="G59" s="548"/>
      <c r="H59" s="550">
        <f>H58/12/94</f>
        <v>20.76595744680851</v>
      </c>
      <c r="I59" s="550"/>
    </row>
    <row r="61" spans="2:9" x14ac:dyDescent="0.2">
      <c r="B61" s="562" t="s">
        <v>436</v>
      </c>
      <c r="C61" s="562"/>
      <c r="D61" s="562"/>
      <c r="E61" s="562"/>
      <c r="F61" s="562"/>
      <c r="G61" s="562"/>
      <c r="H61" s="562"/>
    </row>
    <row r="62" spans="2:9" ht="47.25" x14ac:dyDescent="0.2">
      <c r="B62" s="226" t="s">
        <v>268</v>
      </c>
      <c r="C62" s="269" t="s">
        <v>350</v>
      </c>
      <c r="D62" s="248" t="s">
        <v>270</v>
      </c>
      <c r="E62" s="228" t="s">
        <v>351</v>
      </c>
      <c r="F62" s="228" t="s">
        <v>352</v>
      </c>
      <c r="G62" s="249" t="s">
        <v>353</v>
      </c>
      <c r="H62" s="279" t="s">
        <v>121</v>
      </c>
    </row>
    <row r="63" spans="2:9" ht="78.75" x14ac:dyDescent="0.2">
      <c r="B63" s="254">
        <v>1</v>
      </c>
      <c r="C63" s="256" t="s">
        <v>354</v>
      </c>
      <c r="D63" s="255" t="s">
        <v>355</v>
      </c>
      <c r="E63" s="256" t="s">
        <v>356</v>
      </c>
      <c r="F63" s="257">
        <v>3264</v>
      </c>
      <c r="G63" s="258">
        <v>15</v>
      </c>
      <c r="H63" s="259">
        <f t="shared" ref="H63:H101" si="3">G63*F63</f>
        <v>48960</v>
      </c>
    </row>
    <row r="64" spans="2:9" ht="47.25" x14ac:dyDescent="0.2">
      <c r="B64" s="260">
        <v>2</v>
      </c>
      <c r="C64" s="262" t="s">
        <v>357</v>
      </c>
      <c r="D64" s="255" t="s">
        <v>358</v>
      </c>
      <c r="E64" s="262" t="s">
        <v>359</v>
      </c>
      <c r="F64" s="263">
        <v>2960</v>
      </c>
      <c r="G64" s="264">
        <v>15</v>
      </c>
      <c r="H64" s="259">
        <f t="shared" si="3"/>
        <v>44400</v>
      </c>
    </row>
    <row r="65" spans="2:10" ht="47.25" x14ac:dyDescent="0.2">
      <c r="B65" s="260">
        <v>3</v>
      </c>
      <c r="C65" s="262" t="s">
        <v>357</v>
      </c>
      <c r="D65" s="261" t="s">
        <v>360</v>
      </c>
      <c r="E65" s="262" t="s">
        <v>361</v>
      </c>
      <c r="F65" s="271">
        <v>13.92</v>
      </c>
      <c r="G65" s="264">
        <v>10</v>
      </c>
      <c r="H65" s="259">
        <f t="shared" si="3"/>
        <v>139.19999999999999</v>
      </c>
    </row>
    <row r="66" spans="2:10" ht="47.25" x14ac:dyDescent="0.2">
      <c r="B66" s="260">
        <v>4</v>
      </c>
      <c r="C66" s="262" t="s">
        <v>357</v>
      </c>
      <c r="D66" s="261" t="s">
        <v>362</v>
      </c>
      <c r="E66" s="262" t="s">
        <v>363</v>
      </c>
      <c r="F66" s="263">
        <v>1128</v>
      </c>
      <c r="G66" s="264">
        <v>5</v>
      </c>
      <c r="H66" s="259">
        <f t="shared" si="3"/>
        <v>5640</v>
      </c>
    </row>
    <row r="67" spans="2:10" ht="47.25" x14ac:dyDescent="0.2">
      <c r="B67" s="260">
        <v>5</v>
      </c>
      <c r="C67" s="262" t="s">
        <v>357</v>
      </c>
      <c r="D67" s="261" t="s">
        <v>364</v>
      </c>
      <c r="E67" s="262" t="s">
        <v>365</v>
      </c>
      <c r="F67" s="263">
        <v>180</v>
      </c>
      <c r="G67" s="264">
        <v>15</v>
      </c>
      <c r="H67" s="259">
        <f t="shared" si="3"/>
        <v>2700</v>
      </c>
    </row>
    <row r="68" spans="2:10" ht="78.75" x14ac:dyDescent="0.2">
      <c r="B68" s="260">
        <v>6</v>
      </c>
      <c r="C68" s="272" t="s">
        <v>366</v>
      </c>
      <c r="D68" s="261" t="s">
        <v>367</v>
      </c>
      <c r="E68" s="262" t="s">
        <v>356</v>
      </c>
      <c r="F68" s="263">
        <v>9720</v>
      </c>
      <c r="G68" s="264">
        <v>12</v>
      </c>
      <c r="H68" s="259">
        <f t="shared" si="3"/>
        <v>116640</v>
      </c>
    </row>
    <row r="69" spans="2:10" ht="94.5" x14ac:dyDescent="0.2">
      <c r="B69" s="260">
        <v>7</v>
      </c>
      <c r="C69" s="262" t="s">
        <v>357</v>
      </c>
      <c r="D69" s="255" t="s">
        <v>368</v>
      </c>
      <c r="E69" s="262" t="s">
        <v>369</v>
      </c>
      <c r="F69" s="263">
        <v>3420</v>
      </c>
      <c r="G69" s="264">
        <v>10</v>
      </c>
      <c r="H69" s="259">
        <f t="shared" si="3"/>
        <v>34200</v>
      </c>
    </row>
    <row r="70" spans="2:10" ht="63" x14ac:dyDescent="0.2">
      <c r="B70" s="254">
        <v>8</v>
      </c>
      <c r="C70" s="256" t="s">
        <v>357</v>
      </c>
      <c r="D70" s="255" t="s">
        <v>370</v>
      </c>
      <c r="E70" s="256" t="s">
        <v>371</v>
      </c>
      <c r="F70" s="257">
        <v>10800</v>
      </c>
      <c r="G70" s="258">
        <v>1.5</v>
      </c>
      <c r="H70" s="259">
        <f t="shared" si="3"/>
        <v>16200</v>
      </c>
    </row>
    <row r="71" spans="2:10" ht="47.25" x14ac:dyDescent="0.2">
      <c r="B71" s="260">
        <v>9</v>
      </c>
      <c r="C71" s="262" t="s">
        <v>357</v>
      </c>
      <c r="D71" s="261" t="s">
        <v>372</v>
      </c>
      <c r="E71" s="262" t="s">
        <v>373</v>
      </c>
      <c r="F71" s="263">
        <v>5400</v>
      </c>
      <c r="G71" s="264">
        <v>4</v>
      </c>
      <c r="H71" s="259">
        <f t="shared" si="3"/>
        <v>21600</v>
      </c>
    </row>
    <row r="72" spans="2:10" ht="47.25" x14ac:dyDescent="0.2">
      <c r="B72" s="260">
        <v>10</v>
      </c>
      <c r="C72" s="262" t="s">
        <v>357</v>
      </c>
      <c r="D72" s="261" t="s">
        <v>374</v>
      </c>
      <c r="E72" s="262" t="s">
        <v>375</v>
      </c>
      <c r="F72" s="263">
        <v>5760</v>
      </c>
      <c r="G72" s="264">
        <v>0.4</v>
      </c>
      <c r="H72" s="259">
        <f t="shared" si="3"/>
        <v>2304</v>
      </c>
    </row>
    <row r="73" spans="2:10" ht="47.25" x14ac:dyDescent="0.2">
      <c r="B73" s="260">
        <v>11</v>
      </c>
      <c r="C73" s="262" t="s">
        <v>357</v>
      </c>
      <c r="D73" s="255" t="s">
        <v>376</v>
      </c>
      <c r="E73" s="262" t="s">
        <v>377</v>
      </c>
      <c r="F73" s="263">
        <v>1128</v>
      </c>
      <c r="G73" s="264">
        <v>2.5</v>
      </c>
      <c r="H73" s="259">
        <f t="shared" si="3"/>
        <v>2820</v>
      </c>
    </row>
    <row r="74" spans="2:10" ht="31.5" x14ac:dyDescent="0.2">
      <c r="B74" s="260">
        <v>12</v>
      </c>
      <c r="C74" s="273" t="s">
        <v>378</v>
      </c>
      <c r="D74" s="261" t="s">
        <v>379</v>
      </c>
      <c r="E74" s="262" t="s">
        <v>380</v>
      </c>
      <c r="F74" s="263">
        <v>4092</v>
      </c>
      <c r="G74" s="264">
        <v>3</v>
      </c>
      <c r="H74" s="259">
        <f t="shared" si="3"/>
        <v>12276</v>
      </c>
    </row>
    <row r="75" spans="2:10" ht="31.5" x14ac:dyDescent="0.2">
      <c r="B75" s="260">
        <v>13</v>
      </c>
      <c r="C75" s="262" t="s">
        <v>357</v>
      </c>
      <c r="D75" s="261" t="s">
        <v>381</v>
      </c>
      <c r="E75" s="262" t="s">
        <v>334</v>
      </c>
      <c r="F75" s="263">
        <v>5640</v>
      </c>
      <c r="G75" s="264">
        <v>1.5</v>
      </c>
      <c r="H75" s="259">
        <f t="shared" si="3"/>
        <v>8460</v>
      </c>
    </row>
    <row r="76" spans="2:10" ht="78.75" x14ac:dyDescent="0.2">
      <c r="B76" s="254">
        <v>14</v>
      </c>
      <c r="C76" s="256" t="s">
        <v>357</v>
      </c>
      <c r="D76" s="255" t="s">
        <v>382</v>
      </c>
      <c r="E76" s="256" t="s">
        <v>371</v>
      </c>
      <c r="F76" s="257">
        <v>6000</v>
      </c>
      <c r="G76" s="258">
        <v>3</v>
      </c>
      <c r="H76" s="259">
        <f t="shared" si="3"/>
        <v>18000</v>
      </c>
    </row>
    <row r="77" spans="2:10" ht="63" x14ac:dyDescent="0.2">
      <c r="B77" s="260">
        <v>15</v>
      </c>
      <c r="C77" s="262" t="s">
        <v>383</v>
      </c>
      <c r="D77" s="261" t="s">
        <v>384</v>
      </c>
      <c r="E77" s="262" t="s">
        <v>385</v>
      </c>
      <c r="F77" s="263">
        <v>4752</v>
      </c>
      <c r="G77" s="264">
        <v>3</v>
      </c>
      <c r="H77" s="259">
        <f t="shared" si="3"/>
        <v>14256</v>
      </c>
    </row>
    <row r="78" spans="2:10" ht="47.25" x14ac:dyDescent="0.2">
      <c r="B78" s="260">
        <v>16</v>
      </c>
      <c r="C78" s="262" t="s">
        <v>357</v>
      </c>
      <c r="D78" s="261" t="s">
        <v>386</v>
      </c>
      <c r="E78" s="262" t="s">
        <v>356</v>
      </c>
      <c r="F78" s="263">
        <v>8340</v>
      </c>
      <c r="G78" s="264">
        <v>2</v>
      </c>
      <c r="H78" s="259">
        <f t="shared" si="3"/>
        <v>16680</v>
      </c>
      <c r="J78" s="330">
        <f>'ANEXO VII'!M57</f>
        <v>197.15170301310718</v>
      </c>
    </row>
    <row r="79" spans="2:10" ht="94.5" x14ac:dyDescent="0.2">
      <c r="B79" s="260">
        <v>17</v>
      </c>
      <c r="C79" s="273" t="s">
        <v>387</v>
      </c>
      <c r="D79" s="255" t="s">
        <v>388</v>
      </c>
      <c r="E79" s="262" t="s">
        <v>389</v>
      </c>
      <c r="F79" s="263">
        <v>1950</v>
      </c>
      <c r="G79" s="264">
        <v>25</v>
      </c>
      <c r="H79" s="259">
        <f t="shared" si="3"/>
        <v>48750</v>
      </c>
    </row>
    <row r="80" spans="2:10" ht="47.25" x14ac:dyDescent="0.2">
      <c r="B80" s="260">
        <v>18</v>
      </c>
      <c r="C80" s="272" t="s">
        <v>390</v>
      </c>
      <c r="D80" s="261" t="s">
        <v>391</v>
      </c>
      <c r="E80" s="262" t="s">
        <v>392</v>
      </c>
      <c r="F80" s="263">
        <v>3840</v>
      </c>
      <c r="G80" s="264">
        <v>25</v>
      </c>
      <c r="H80" s="259">
        <f t="shared" si="3"/>
        <v>96000</v>
      </c>
    </row>
    <row r="81" spans="2:8" ht="78.75" x14ac:dyDescent="0.2">
      <c r="B81" s="254">
        <v>19</v>
      </c>
      <c r="C81" s="274" t="s">
        <v>390</v>
      </c>
      <c r="D81" s="255" t="s">
        <v>393</v>
      </c>
      <c r="E81" s="256" t="s">
        <v>394</v>
      </c>
      <c r="F81" s="257">
        <v>31620</v>
      </c>
      <c r="G81" s="258">
        <v>23.28</v>
      </c>
      <c r="H81" s="259">
        <f t="shared" si="3"/>
        <v>736113.60000000009</v>
      </c>
    </row>
    <row r="82" spans="2:8" ht="47.25" x14ac:dyDescent="0.2">
      <c r="B82" s="260">
        <v>20</v>
      </c>
      <c r="C82" s="262" t="s">
        <v>357</v>
      </c>
      <c r="D82" s="261" t="s">
        <v>395</v>
      </c>
      <c r="E82" s="262" t="s">
        <v>396</v>
      </c>
      <c r="F82" s="263">
        <v>4740</v>
      </c>
      <c r="G82" s="264">
        <v>1.5</v>
      </c>
      <c r="H82" s="259">
        <f t="shared" si="3"/>
        <v>7110</v>
      </c>
    </row>
    <row r="83" spans="2:8" ht="63" x14ac:dyDescent="0.2">
      <c r="B83" s="260">
        <v>21</v>
      </c>
      <c r="C83" s="262" t="s">
        <v>357</v>
      </c>
      <c r="D83" s="255" t="s">
        <v>397</v>
      </c>
      <c r="E83" s="262" t="s">
        <v>398</v>
      </c>
      <c r="F83" s="263">
        <v>1128</v>
      </c>
      <c r="G83" s="264">
        <v>3</v>
      </c>
      <c r="H83" s="259">
        <f t="shared" si="3"/>
        <v>3384</v>
      </c>
    </row>
    <row r="84" spans="2:8" ht="63" x14ac:dyDescent="0.2">
      <c r="B84" s="254">
        <v>22</v>
      </c>
      <c r="C84" s="274" t="s">
        <v>390</v>
      </c>
      <c r="D84" s="255" t="s">
        <v>399</v>
      </c>
      <c r="E84" s="256" t="s">
        <v>400</v>
      </c>
      <c r="F84" s="257">
        <v>14520</v>
      </c>
      <c r="G84" s="258">
        <v>1.5</v>
      </c>
      <c r="H84" s="259">
        <f t="shared" si="3"/>
        <v>21780</v>
      </c>
    </row>
    <row r="85" spans="2:8" ht="31.5" x14ac:dyDescent="0.2">
      <c r="B85" s="260">
        <v>23</v>
      </c>
      <c r="C85" s="262" t="s">
        <v>357</v>
      </c>
      <c r="D85" s="261" t="s">
        <v>401</v>
      </c>
      <c r="E85" s="262" t="s">
        <v>402</v>
      </c>
      <c r="F85" s="263">
        <v>600</v>
      </c>
      <c r="G85" s="264">
        <v>3.5</v>
      </c>
      <c r="H85" s="259">
        <f t="shared" si="3"/>
        <v>2100</v>
      </c>
    </row>
    <row r="86" spans="2:8" ht="31.5" x14ac:dyDescent="0.2">
      <c r="B86" s="260">
        <v>24</v>
      </c>
      <c r="C86" s="262" t="s">
        <v>357</v>
      </c>
      <c r="D86" s="261" t="s">
        <v>403</v>
      </c>
      <c r="E86" s="262" t="s">
        <v>404</v>
      </c>
      <c r="F86" s="263">
        <v>1500</v>
      </c>
      <c r="G86" s="264">
        <v>3.5</v>
      </c>
      <c r="H86" s="259">
        <f t="shared" si="3"/>
        <v>5250</v>
      </c>
    </row>
    <row r="87" spans="2:8" ht="78.75" x14ac:dyDescent="0.2">
      <c r="B87" s="254">
        <v>25</v>
      </c>
      <c r="C87" s="256" t="s">
        <v>357</v>
      </c>
      <c r="D87" s="255" t="s">
        <v>405</v>
      </c>
      <c r="E87" s="256" t="s">
        <v>406</v>
      </c>
      <c r="F87" s="257">
        <v>1008</v>
      </c>
      <c r="G87" s="258">
        <v>3.5</v>
      </c>
      <c r="H87" s="259">
        <f t="shared" si="3"/>
        <v>3528</v>
      </c>
    </row>
    <row r="88" spans="2:8" ht="15.75" x14ac:dyDescent="0.2">
      <c r="B88" s="260">
        <v>26</v>
      </c>
      <c r="C88" s="262" t="s">
        <v>357</v>
      </c>
      <c r="D88" s="261" t="s">
        <v>407</v>
      </c>
      <c r="E88" s="262" t="s">
        <v>408</v>
      </c>
      <c r="F88" s="263">
        <v>3300</v>
      </c>
      <c r="G88" s="264">
        <v>4</v>
      </c>
      <c r="H88" s="259">
        <f t="shared" si="3"/>
        <v>13200</v>
      </c>
    </row>
    <row r="89" spans="2:8" ht="31.5" x14ac:dyDescent="0.2">
      <c r="B89" s="260">
        <v>27</v>
      </c>
      <c r="C89" s="272" t="s">
        <v>390</v>
      </c>
      <c r="D89" s="261" t="s">
        <v>409</v>
      </c>
      <c r="E89" s="262" t="s">
        <v>410</v>
      </c>
      <c r="F89" s="263">
        <v>3240</v>
      </c>
      <c r="G89" s="264">
        <v>2.5</v>
      </c>
      <c r="H89" s="259">
        <f t="shared" si="3"/>
        <v>8100</v>
      </c>
    </row>
    <row r="90" spans="2:8" ht="63" x14ac:dyDescent="0.2">
      <c r="B90" s="254">
        <v>28</v>
      </c>
      <c r="C90" s="256" t="s">
        <v>390</v>
      </c>
      <c r="D90" s="255" t="s">
        <v>411</v>
      </c>
      <c r="E90" s="256" t="s">
        <v>392</v>
      </c>
      <c r="F90" s="257">
        <v>1152</v>
      </c>
      <c r="G90" s="258">
        <v>10</v>
      </c>
      <c r="H90" s="259">
        <f t="shared" si="3"/>
        <v>11520</v>
      </c>
    </row>
    <row r="91" spans="2:8" ht="63" x14ac:dyDescent="0.2">
      <c r="B91" s="254">
        <v>29</v>
      </c>
      <c r="C91" s="256" t="s">
        <v>390</v>
      </c>
      <c r="D91" s="255" t="s">
        <v>412</v>
      </c>
      <c r="E91" s="256" t="s">
        <v>413</v>
      </c>
      <c r="F91" s="257">
        <v>1224</v>
      </c>
      <c r="G91" s="258">
        <v>15</v>
      </c>
      <c r="H91" s="259">
        <f t="shared" si="3"/>
        <v>18360</v>
      </c>
    </row>
    <row r="92" spans="2:8" ht="110.25" x14ac:dyDescent="0.2">
      <c r="B92" s="254">
        <v>30</v>
      </c>
      <c r="C92" s="256" t="s">
        <v>357</v>
      </c>
      <c r="D92" s="255" t="s">
        <v>414</v>
      </c>
      <c r="E92" s="256" t="s">
        <v>369</v>
      </c>
      <c r="F92" s="257">
        <v>7620</v>
      </c>
      <c r="G92" s="258">
        <v>8</v>
      </c>
      <c r="H92" s="259">
        <f t="shared" si="3"/>
        <v>60960</v>
      </c>
    </row>
    <row r="93" spans="2:8" ht="31.5" x14ac:dyDescent="0.2">
      <c r="B93" s="260">
        <v>31</v>
      </c>
      <c r="C93" s="262" t="s">
        <v>357</v>
      </c>
      <c r="D93" s="261" t="s">
        <v>415</v>
      </c>
      <c r="E93" s="262" t="s">
        <v>416</v>
      </c>
      <c r="F93" s="263">
        <v>1800</v>
      </c>
      <c r="G93" s="264">
        <v>3</v>
      </c>
      <c r="H93" s="259">
        <f t="shared" si="3"/>
        <v>5400</v>
      </c>
    </row>
    <row r="94" spans="2:8" ht="78.75" x14ac:dyDescent="0.2">
      <c r="B94" s="254">
        <v>32</v>
      </c>
      <c r="C94" s="256" t="s">
        <v>357</v>
      </c>
      <c r="D94" s="255" t="s">
        <v>417</v>
      </c>
      <c r="E94" s="256" t="s">
        <v>418</v>
      </c>
      <c r="F94" s="257">
        <v>1092</v>
      </c>
      <c r="G94" s="258">
        <v>7</v>
      </c>
      <c r="H94" s="259">
        <f t="shared" si="3"/>
        <v>7644</v>
      </c>
    </row>
    <row r="95" spans="2:8" ht="31.5" x14ac:dyDescent="0.2">
      <c r="B95" s="260">
        <v>33</v>
      </c>
      <c r="C95" s="262" t="s">
        <v>357</v>
      </c>
      <c r="D95" s="261" t="s">
        <v>419</v>
      </c>
      <c r="E95" s="262" t="s">
        <v>418</v>
      </c>
      <c r="F95" s="263">
        <v>240</v>
      </c>
      <c r="G95" s="264">
        <v>8</v>
      </c>
      <c r="H95" s="259">
        <f t="shared" si="3"/>
        <v>1920</v>
      </c>
    </row>
    <row r="96" spans="2:8" ht="31.5" x14ac:dyDescent="0.2">
      <c r="B96" s="260">
        <v>34</v>
      </c>
      <c r="C96" s="262" t="s">
        <v>357</v>
      </c>
      <c r="D96" s="261" t="s">
        <v>420</v>
      </c>
      <c r="E96" s="262" t="s">
        <v>421</v>
      </c>
      <c r="F96" s="263">
        <v>120</v>
      </c>
      <c r="G96" s="264">
        <v>4</v>
      </c>
      <c r="H96" s="259">
        <f t="shared" si="3"/>
        <v>480</v>
      </c>
    </row>
    <row r="97" spans="2:10" ht="31.5" x14ac:dyDescent="0.2">
      <c r="B97" s="260">
        <v>35</v>
      </c>
      <c r="C97" s="262" t="s">
        <v>357</v>
      </c>
      <c r="D97" s="261" t="s">
        <v>422</v>
      </c>
      <c r="E97" s="262" t="s">
        <v>402</v>
      </c>
      <c r="F97" s="263">
        <v>3012</v>
      </c>
      <c r="G97" s="264">
        <v>3</v>
      </c>
      <c r="H97" s="259">
        <f t="shared" si="3"/>
        <v>9036</v>
      </c>
    </row>
    <row r="98" spans="2:10" ht="78.75" x14ac:dyDescent="0.2">
      <c r="B98" s="254">
        <v>36</v>
      </c>
      <c r="C98" s="256" t="s">
        <v>357</v>
      </c>
      <c r="D98" s="255" t="s">
        <v>423</v>
      </c>
      <c r="E98" s="256" t="s">
        <v>418</v>
      </c>
      <c r="F98" s="257">
        <v>600</v>
      </c>
      <c r="G98" s="258">
        <v>7</v>
      </c>
      <c r="H98" s="259">
        <f t="shared" si="3"/>
        <v>4200</v>
      </c>
    </row>
    <row r="99" spans="2:10" ht="63" x14ac:dyDescent="0.2">
      <c r="B99" s="254">
        <v>37</v>
      </c>
      <c r="C99" s="256" t="s">
        <v>357</v>
      </c>
      <c r="D99" s="261" t="s">
        <v>424</v>
      </c>
      <c r="E99" s="256" t="s">
        <v>389</v>
      </c>
      <c r="F99" s="257">
        <v>387</v>
      </c>
      <c r="G99" s="258">
        <v>20</v>
      </c>
      <c r="H99" s="259">
        <f t="shared" si="3"/>
        <v>7740</v>
      </c>
    </row>
    <row r="100" spans="2:10" ht="31.5" x14ac:dyDescent="0.2">
      <c r="B100" s="260">
        <v>38</v>
      </c>
      <c r="C100" s="262" t="s">
        <v>357</v>
      </c>
      <c r="D100" s="261" t="s">
        <v>425</v>
      </c>
      <c r="E100" s="262" t="s">
        <v>426</v>
      </c>
      <c r="F100" s="263">
        <v>360</v>
      </c>
      <c r="G100" s="264">
        <v>10</v>
      </c>
      <c r="H100" s="259">
        <f t="shared" si="3"/>
        <v>3600</v>
      </c>
    </row>
    <row r="101" spans="2:10" ht="31.5" x14ac:dyDescent="0.2">
      <c r="B101" s="260">
        <v>39</v>
      </c>
      <c r="C101" s="262" t="s">
        <v>390</v>
      </c>
      <c r="D101" s="261" t="s">
        <v>427</v>
      </c>
      <c r="E101" s="262" t="s">
        <v>428</v>
      </c>
      <c r="F101" s="263">
        <v>1008</v>
      </c>
      <c r="G101" s="264">
        <v>5</v>
      </c>
      <c r="H101" s="259">
        <f t="shared" si="3"/>
        <v>5040</v>
      </c>
    </row>
    <row r="102" spans="2:10" ht="15.75" x14ac:dyDescent="0.2">
      <c r="B102" s="260">
        <v>40</v>
      </c>
      <c r="C102" s="262" t="s">
        <v>357</v>
      </c>
      <c r="D102" s="261" t="s">
        <v>429</v>
      </c>
      <c r="E102" s="262" t="s">
        <v>291</v>
      </c>
      <c r="F102" s="263">
        <v>70</v>
      </c>
      <c r="G102" s="264">
        <v>5</v>
      </c>
      <c r="H102" s="259">
        <f>G102*F102</f>
        <v>350</v>
      </c>
    </row>
    <row r="103" spans="2:10" ht="15.75" x14ac:dyDescent="0.2">
      <c r="B103" s="553" t="s">
        <v>306</v>
      </c>
      <c r="C103" s="554"/>
      <c r="D103" s="554"/>
      <c r="E103" s="554"/>
      <c r="F103" s="554"/>
      <c r="G103" s="555"/>
      <c r="H103" s="290">
        <f>SUM(H63:H102)</f>
        <v>1446840.8</v>
      </c>
    </row>
    <row r="104" spans="2:10" x14ac:dyDescent="0.2">
      <c r="B104" s="563" t="s">
        <v>201</v>
      </c>
      <c r="C104" s="563"/>
      <c r="D104" s="563"/>
      <c r="E104" s="563"/>
      <c r="F104" s="563"/>
      <c r="G104" s="563"/>
      <c r="H104" s="137">
        <f>H103/12/93</f>
        <v>1296.4523297491039</v>
      </c>
      <c r="I104" s="333">
        <f>SUM('ANEXO VII'!I55:K57)</f>
        <v>4999802.8482969869</v>
      </c>
    </row>
    <row r="105" spans="2:10" x14ac:dyDescent="0.2">
      <c r="B105" s="556"/>
      <c r="C105" s="556"/>
      <c r="D105" s="556"/>
      <c r="E105" s="556"/>
      <c r="F105" s="556"/>
      <c r="G105" s="556"/>
      <c r="H105" s="556"/>
      <c r="I105" s="556"/>
      <c r="J105" s="556"/>
    </row>
    <row r="106" spans="2:10" ht="15" customHeight="1" x14ac:dyDescent="0.2">
      <c r="B106" s="564" t="s">
        <v>437</v>
      </c>
      <c r="C106" s="564"/>
      <c r="D106" s="564"/>
      <c r="E106" s="564"/>
      <c r="F106" s="564"/>
      <c r="G106" s="564"/>
      <c r="H106" s="564"/>
      <c r="I106" s="564"/>
      <c r="J106" s="302"/>
    </row>
    <row r="107" spans="2:10" ht="47.25" x14ac:dyDescent="0.2">
      <c r="B107" s="226" t="s">
        <v>268</v>
      </c>
      <c r="C107" s="531" t="s">
        <v>350</v>
      </c>
      <c r="D107" s="532"/>
      <c r="E107" s="228" t="s">
        <v>438</v>
      </c>
      <c r="F107" s="228" t="s">
        <v>351</v>
      </c>
      <c r="G107" s="227" t="s">
        <v>439</v>
      </c>
      <c r="H107" s="307" t="s">
        <v>440</v>
      </c>
      <c r="I107" s="270" t="s">
        <v>121</v>
      </c>
      <c r="J107" s="247"/>
    </row>
    <row r="108" spans="2:10" ht="47.25" x14ac:dyDescent="0.2">
      <c r="B108" s="229">
        <v>1</v>
      </c>
      <c r="C108" s="551" t="s">
        <v>441</v>
      </c>
      <c r="D108" s="552"/>
      <c r="E108" s="231" t="s">
        <v>442</v>
      </c>
      <c r="F108" s="303" t="s">
        <v>443</v>
      </c>
      <c r="G108" s="232">
        <v>70</v>
      </c>
      <c r="H108" s="308">
        <v>80</v>
      </c>
      <c r="I108" s="259">
        <f>H108*G108</f>
        <v>5600</v>
      </c>
      <c r="J108" s="247"/>
    </row>
    <row r="109" spans="2:10" ht="31.5" x14ac:dyDescent="0.2">
      <c r="B109" s="234">
        <v>2</v>
      </c>
      <c r="C109" s="535" t="s">
        <v>357</v>
      </c>
      <c r="D109" s="536"/>
      <c r="E109" s="239" t="s">
        <v>444</v>
      </c>
      <c r="F109" s="304" t="s">
        <v>445</v>
      </c>
      <c r="G109" s="237">
        <v>70</v>
      </c>
      <c r="H109" s="309">
        <v>40</v>
      </c>
      <c r="I109" s="259">
        <f t="shared" ref="I109:I121" si="4">H109*G109</f>
        <v>2800</v>
      </c>
      <c r="J109" s="247"/>
    </row>
    <row r="110" spans="2:10" ht="15.75" x14ac:dyDescent="0.2">
      <c r="B110" s="234">
        <v>3</v>
      </c>
      <c r="C110" s="535" t="s">
        <v>357</v>
      </c>
      <c r="D110" s="536"/>
      <c r="E110" s="239" t="s">
        <v>446</v>
      </c>
      <c r="F110" s="235" t="s">
        <v>447</v>
      </c>
      <c r="G110" s="237">
        <v>140</v>
      </c>
      <c r="H110" s="309">
        <v>10</v>
      </c>
      <c r="I110" s="259">
        <f t="shared" si="4"/>
        <v>1400</v>
      </c>
      <c r="J110" s="247"/>
    </row>
    <row r="111" spans="2:10" ht="15.75" x14ac:dyDescent="0.2">
      <c r="B111" s="234">
        <v>4</v>
      </c>
      <c r="C111" s="535" t="s">
        <v>357</v>
      </c>
      <c r="D111" s="536"/>
      <c r="E111" s="239" t="s">
        <v>448</v>
      </c>
      <c r="F111" s="304" t="s">
        <v>443</v>
      </c>
      <c r="G111" s="237">
        <v>70</v>
      </c>
      <c r="H111" s="309">
        <v>80</v>
      </c>
      <c r="I111" s="259">
        <f t="shared" si="4"/>
        <v>5600</v>
      </c>
      <c r="J111" s="247"/>
    </row>
    <row r="112" spans="2:10" ht="15.75" x14ac:dyDescent="0.2">
      <c r="B112" s="234">
        <v>5</v>
      </c>
      <c r="C112" s="535" t="s">
        <v>357</v>
      </c>
      <c r="D112" s="536"/>
      <c r="E112" s="239" t="s">
        <v>449</v>
      </c>
      <c r="F112" s="304" t="s">
        <v>443</v>
      </c>
      <c r="G112" s="237">
        <v>140</v>
      </c>
      <c r="H112" s="309">
        <v>30</v>
      </c>
      <c r="I112" s="259">
        <f t="shared" si="4"/>
        <v>4200</v>
      </c>
      <c r="J112" s="247"/>
    </row>
    <row r="113" spans="2:11" ht="31.5" x14ac:dyDescent="0.2">
      <c r="B113" s="234">
        <v>6</v>
      </c>
      <c r="C113" s="535" t="s">
        <v>357</v>
      </c>
      <c r="D113" s="536"/>
      <c r="E113" s="239" t="s">
        <v>450</v>
      </c>
      <c r="F113" s="304" t="s">
        <v>443</v>
      </c>
      <c r="G113" s="237">
        <v>4</v>
      </c>
      <c r="H113" s="309">
        <v>90</v>
      </c>
      <c r="I113" s="259">
        <f t="shared" si="4"/>
        <v>360</v>
      </c>
      <c r="J113" s="247"/>
    </row>
    <row r="114" spans="2:11" ht="63" x14ac:dyDescent="0.2">
      <c r="B114" s="240">
        <v>7</v>
      </c>
      <c r="C114" s="557" t="s">
        <v>451</v>
      </c>
      <c r="D114" s="558"/>
      <c r="E114" s="236" t="s">
        <v>452</v>
      </c>
      <c r="F114" s="241" t="s">
        <v>453</v>
      </c>
      <c r="G114" s="242">
        <v>70</v>
      </c>
      <c r="H114" s="310">
        <v>30</v>
      </c>
      <c r="I114" s="259">
        <f t="shared" si="4"/>
        <v>2100</v>
      </c>
      <c r="J114" s="247"/>
    </row>
    <row r="115" spans="2:11" ht="15.75" x14ac:dyDescent="0.2">
      <c r="B115" s="234">
        <v>8</v>
      </c>
      <c r="C115" s="535" t="s">
        <v>357</v>
      </c>
      <c r="D115" s="536"/>
      <c r="E115" s="239" t="s">
        <v>454</v>
      </c>
      <c r="F115" s="304" t="s">
        <v>377</v>
      </c>
      <c r="G115" s="237">
        <v>70</v>
      </c>
      <c r="H115" s="309">
        <v>220</v>
      </c>
      <c r="I115" s="259">
        <f t="shared" si="4"/>
        <v>15400</v>
      </c>
      <c r="J115" s="247"/>
    </row>
    <row r="116" spans="2:11" ht="63" x14ac:dyDescent="0.2">
      <c r="B116" s="240">
        <v>9</v>
      </c>
      <c r="C116" s="557" t="s">
        <v>357</v>
      </c>
      <c r="D116" s="558"/>
      <c r="E116" s="236" t="s">
        <v>455</v>
      </c>
      <c r="F116" s="305" t="s">
        <v>456</v>
      </c>
      <c r="G116" s="242">
        <v>80</v>
      </c>
      <c r="H116" s="310">
        <v>30</v>
      </c>
      <c r="I116" s="259">
        <f t="shared" si="4"/>
        <v>2400</v>
      </c>
      <c r="J116" s="247"/>
    </row>
    <row r="117" spans="2:11" ht="31.5" x14ac:dyDescent="0.2">
      <c r="B117" s="234">
        <v>10</v>
      </c>
      <c r="C117" s="535" t="s">
        <v>357</v>
      </c>
      <c r="D117" s="536"/>
      <c r="E117" s="239" t="s">
        <v>457</v>
      </c>
      <c r="F117" s="304" t="s">
        <v>443</v>
      </c>
      <c r="G117" s="237">
        <v>82</v>
      </c>
      <c r="H117" s="309">
        <v>15</v>
      </c>
      <c r="I117" s="259">
        <f t="shared" si="4"/>
        <v>1230</v>
      </c>
      <c r="J117" s="247"/>
    </row>
    <row r="118" spans="2:11" ht="47.25" x14ac:dyDescent="0.2">
      <c r="B118" s="240">
        <v>11</v>
      </c>
      <c r="C118" s="557" t="s">
        <v>357</v>
      </c>
      <c r="D118" s="558"/>
      <c r="E118" s="239" t="s">
        <v>458</v>
      </c>
      <c r="F118" s="305" t="s">
        <v>443</v>
      </c>
      <c r="G118" s="242">
        <v>128</v>
      </c>
      <c r="H118" s="310">
        <v>40</v>
      </c>
      <c r="I118" s="259">
        <f t="shared" si="4"/>
        <v>5120</v>
      </c>
      <c r="J118" s="247"/>
    </row>
    <row r="119" spans="2:11" ht="47.25" x14ac:dyDescent="0.2">
      <c r="B119" s="240">
        <v>12</v>
      </c>
      <c r="C119" s="557" t="s">
        <v>357</v>
      </c>
      <c r="D119" s="558"/>
      <c r="E119" s="239" t="s">
        <v>459</v>
      </c>
      <c r="F119" s="305" t="s">
        <v>460</v>
      </c>
      <c r="G119" s="242">
        <v>70</v>
      </c>
      <c r="H119" s="310">
        <v>150</v>
      </c>
      <c r="I119" s="259">
        <f t="shared" si="4"/>
        <v>10500</v>
      </c>
      <c r="J119" s="247"/>
    </row>
    <row r="120" spans="2:11" ht="94.5" x14ac:dyDescent="0.2">
      <c r="B120" s="240">
        <v>13</v>
      </c>
      <c r="C120" s="557" t="s">
        <v>357</v>
      </c>
      <c r="D120" s="558"/>
      <c r="E120" s="239" t="s">
        <v>461</v>
      </c>
      <c r="F120" s="305" t="s">
        <v>462</v>
      </c>
      <c r="G120" s="242">
        <v>40</v>
      </c>
      <c r="H120" s="310">
        <v>80</v>
      </c>
      <c r="I120" s="259">
        <f t="shared" si="4"/>
        <v>3200</v>
      </c>
      <c r="J120" s="247"/>
    </row>
    <row r="121" spans="2:11" ht="31.5" x14ac:dyDescent="0.2">
      <c r="B121" s="244">
        <v>14</v>
      </c>
      <c r="C121" s="565" t="s">
        <v>357</v>
      </c>
      <c r="D121" s="566"/>
      <c r="E121" s="245" t="s">
        <v>463</v>
      </c>
      <c r="F121" s="306" t="s">
        <v>462</v>
      </c>
      <c r="G121" s="246">
        <v>30</v>
      </c>
      <c r="H121" s="311">
        <v>200</v>
      </c>
      <c r="I121" s="259">
        <f t="shared" si="4"/>
        <v>6000</v>
      </c>
      <c r="J121" s="247"/>
    </row>
    <row r="122" spans="2:11" ht="15.75" x14ac:dyDescent="0.2">
      <c r="B122" s="553" t="s">
        <v>306</v>
      </c>
      <c r="C122" s="554"/>
      <c r="D122" s="554"/>
      <c r="E122" s="554"/>
      <c r="F122" s="554"/>
      <c r="G122" s="554"/>
      <c r="H122" s="554"/>
      <c r="I122" s="297">
        <f>SUM(I108:I121)</f>
        <v>65910</v>
      </c>
      <c r="J122" s="247"/>
    </row>
    <row r="123" spans="2:11" ht="17.25" customHeight="1" x14ac:dyDescent="0.2">
      <c r="B123" s="526" t="s">
        <v>432</v>
      </c>
      <c r="C123" s="526"/>
      <c r="D123" s="526"/>
      <c r="E123" s="526"/>
      <c r="F123" s="526"/>
      <c r="G123" s="526"/>
      <c r="H123" s="526"/>
      <c r="I123" s="301">
        <f>I122/24/90</f>
        <v>30.513888888888889</v>
      </c>
      <c r="J123" s="282"/>
    </row>
    <row r="124" spans="2:11" s="313" customFormat="1" ht="15.75" x14ac:dyDescent="0.2">
      <c r="B124" s="529"/>
      <c r="C124" s="529"/>
      <c r="D124" s="529"/>
      <c r="E124" s="529"/>
      <c r="F124" s="529"/>
      <c r="G124" s="529"/>
      <c r="H124" s="529"/>
      <c r="I124" s="529"/>
      <c r="J124" s="529"/>
    </row>
    <row r="125" spans="2:11" s="313" customFormat="1" x14ac:dyDescent="0.2">
      <c r="H125" s="312"/>
    </row>
    <row r="126" spans="2:11" x14ac:dyDescent="0.2">
      <c r="I126" s="328">
        <f>SUM(I122,H103,H58,I37,H27)</f>
        <v>1564700.8</v>
      </c>
      <c r="K126" s="328">
        <f>I122</f>
        <v>65910</v>
      </c>
    </row>
    <row r="127" spans="2:11" x14ac:dyDescent="0.2">
      <c r="K127" s="329">
        <f>H103</f>
        <v>1446840.8</v>
      </c>
    </row>
    <row r="128" spans="2:11" x14ac:dyDescent="0.2">
      <c r="K128" s="329">
        <f>H58</f>
        <v>23424</v>
      </c>
    </row>
    <row r="129" spans="11:11" x14ac:dyDescent="0.2">
      <c r="K129" s="330">
        <f>I37</f>
        <v>14900</v>
      </c>
    </row>
    <row r="130" spans="11:11" x14ac:dyDescent="0.2">
      <c r="K130" s="329">
        <f>H27</f>
        <v>13626</v>
      </c>
    </row>
    <row r="131" spans="11:11" x14ac:dyDescent="0.2">
      <c r="K131" s="328">
        <f>SUM(K126:K130)</f>
        <v>1564700.8</v>
      </c>
    </row>
  </sheetData>
  <mergeCells count="56">
    <mergeCell ref="B124:J124"/>
    <mergeCell ref="B2:H2"/>
    <mergeCell ref="B27:G27"/>
    <mergeCell ref="B28:G28"/>
    <mergeCell ref="B38:H38"/>
    <mergeCell ref="B61:H61"/>
    <mergeCell ref="B104:G104"/>
    <mergeCell ref="B106:I106"/>
    <mergeCell ref="C120:D120"/>
    <mergeCell ref="C121:D121"/>
    <mergeCell ref="B122:H122"/>
    <mergeCell ref="B123:H123"/>
    <mergeCell ref="C117:D117"/>
    <mergeCell ref="C118:D118"/>
    <mergeCell ref="C119:D119"/>
    <mergeCell ref="C114:D114"/>
    <mergeCell ref="C115:D115"/>
    <mergeCell ref="C116:D116"/>
    <mergeCell ref="C111:D111"/>
    <mergeCell ref="C112:D112"/>
    <mergeCell ref="C113:D113"/>
    <mergeCell ref="C108:D108"/>
    <mergeCell ref="C109:D109"/>
    <mergeCell ref="C110:D110"/>
    <mergeCell ref="B103:G103"/>
    <mergeCell ref="B105:J105"/>
    <mergeCell ref="C107:D107"/>
    <mergeCell ref="B59:G59"/>
    <mergeCell ref="H58:I58"/>
    <mergeCell ref="H59:I59"/>
    <mergeCell ref="C52:D52"/>
    <mergeCell ref="C53:D53"/>
    <mergeCell ref="C54:D54"/>
    <mergeCell ref="C55:D55"/>
    <mergeCell ref="C56:D56"/>
    <mergeCell ref="C57:D57"/>
    <mergeCell ref="C51:D51"/>
    <mergeCell ref="B41:I41"/>
    <mergeCell ref="C42:D42"/>
    <mergeCell ref="C43:D43"/>
    <mergeCell ref="C44:D44"/>
    <mergeCell ref="C45:D45"/>
    <mergeCell ref="C46:D46"/>
    <mergeCell ref="C47:D47"/>
    <mergeCell ref="C48:D48"/>
    <mergeCell ref="C49:D49"/>
    <mergeCell ref="C50:D50"/>
    <mergeCell ref="B37:H37"/>
    <mergeCell ref="B29:C29"/>
    <mergeCell ref="B30:I30"/>
    <mergeCell ref="B31:I31"/>
    <mergeCell ref="C32:D32"/>
    <mergeCell ref="C33:D33"/>
    <mergeCell ref="C34:D34"/>
    <mergeCell ref="C35:D35"/>
    <mergeCell ref="C36:D36"/>
  </mergeCells>
  <pageMargins left="0.511811024" right="0.511811024" top="0.78740157499999996" bottom="0.78740157499999996" header="0.31496062000000002" footer="0.3149606200000000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496B-9940-4F34-BA05-779B9754ED79}">
  <dimension ref="B1:I27"/>
  <sheetViews>
    <sheetView topLeftCell="A16" zoomScale="70" zoomScaleNormal="70" workbookViewId="0">
      <selection activeCell="G27" sqref="G27"/>
    </sheetView>
  </sheetViews>
  <sheetFormatPr defaultRowHeight="15" x14ac:dyDescent="0.2"/>
  <cols>
    <col min="1" max="3" width="9.140625" style="225"/>
    <col min="4" max="4" width="34.42578125" style="225" customWidth="1"/>
    <col min="5" max="5" width="13.28515625" style="225" customWidth="1"/>
    <col min="6" max="6" width="12" style="225" customWidth="1"/>
    <col min="7" max="7" width="15.85546875" style="338" bestFit="1" customWidth="1"/>
    <col min="8" max="8" width="17.7109375" style="225" bestFit="1" customWidth="1"/>
    <col min="9" max="9" width="9.140625" style="225"/>
    <col min="10" max="10" width="19.7109375" style="225" bestFit="1" customWidth="1"/>
    <col min="11" max="16384" width="9.140625" style="225"/>
  </cols>
  <sheetData>
    <row r="1" spans="2:7" x14ac:dyDescent="0.2">
      <c r="B1" s="562" t="s">
        <v>467</v>
      </c>
      <c r="C1" s="562"/>
      <c r="D1" s="562"/>
      <c r="E1" s="562"/>
      <c r="F1" s="562"/>
      <c r="G1" s="562"/>
    </row>
    <row r="2" spans="2:7" ht="47.25" x14ac:dyDescent="0.2">
      <c r="B2" s="226" t="s">
        <v>268</v>
      </c>
      <c r="C2" s="269" t="s">
        <v>350</v>
      </c>
      <c r="D2" s="248" t="s">
        <v>270</v>
      </c>
      <c r="E2" s="228" t="s">
        <v>352</v>
      </c>
      <c r="F2" s="249" t="s">
        <v>353</v>
      </c>
      <c r="G2" s="279" t="s">
        <v>121</v>
      </c>
    </row>
    <row r="3" spans="2:7" ht="78.75" x14ac:dyDescent="0.2">
      <c r="B3" s="254">
        <v>1</v>
      </c>
      <c r="C3" s="256" t="s">
        <v>354</v>
      </c>
      <c r="D3" s="364" t="s">
        <v>355</v>
      </c>
      <c r="E3" s="257">
        <v>2</v>
      </c>
      <c r="F3" s="258">
        <v>5</v>
      </c>
      <c r="G3" s="259">
        <f t="shared" ref="G3:G11" si="0">F3*E3</f>
        <v>10</v>
      </c>
    </row>
    <row r="4" spans="2:7" ht="47.25" x14ac:dyDescent="0.2">
      <c r="B4" s="260">
        <v>2</v>
      </c>
      <c r="C4" s="262" t="s">
        <v>357</v>
      </c>
      <c r="D4" s="364" t="s">
        <v>358</v>
      </c>
      <c r="E4" s="263">
        <v>1</v>
      </c>
      <c r="F4" s="264">
        <v>7</v>
      </c>
      <c r="G4" s="259">
        <f t="shared" si="0"/>
        <v>7</v>
      </c>
    </row>
    <row r="5" spans="2:7" ht="47.25" x14ac:dyDescent="0.2">
      <c r="B5" s="254">
        <v>3</v>
      </c>
      <c r="C5" s="262" t="s">
        <v>357</v>
      </c>
      <c r="D5" s="365" t="s">
        <v>362</v>
      </c>
      <c r="E5" s="263">
        <v>4</v>
      </c>
      <c r="F5" s="264">
        <v>5</v>
      </c>
      <c r="G5" s="259">
        <f t="shared" si="0"/>
        <v>20</v>
      </c>
    </row>
    <row r="6" spans="2:7" ht="63" x14ac:dyDescent="0.2">
      <c r="B6" s="260">
        <v>4</v>
      </c>
      <c r="C6" s="262" t="s">
        <v>357</v>
      </c>
      <c r="D6" s="365" t="s">
        <v>464</v>
      </c>
      <c r="E6" s="263">
        <v>1</v>
      </c>
      <c r="F6" s="264">
        <v>8</v>
      </c>
      <c r="G6" s="259">
        <f t="shared" si="0"/>
        <v>8</v>
      </c>
    </row>
    <row r="7" spans="2:7" ht="47.25" x14ac:dyDescent="0.2">
      <c r="B7" s="254">
        <v>5</v>
      </c>
      <c r="C7" s="262" t="s">
        <v>357</v>
      </c>
      <c r="D7" s="365" t="s">
        <v>374</v>
      </c>
      <c r="E7" s="263">
        <v>6</v>
      </c>
      <c r="F7" s="264">
        <v>0.4</v>
      </c>
      <c r="G7" s="259">
        <f t="shared" si="0"/>
        <v>2.4000000000000004</v>
      </c>
    </row>
    <row r="8" spans="2:7" ht="31.5" x14ac:dyDescent="0.2">
      <c r="B8" s="260">
        <v>6</v>
      </c>
      <c r="C8" s="273" t="s">
        <v>378</v>
      </c>
      <c r="D8" s="365" t="s">
        <v>379</v>
      </c>
      <c r="E8" s="263">
        <v>2</v>
      </c>
      <c r="F8" s="264">
        <v>1</v>
      </c>
      <c r="G8" s="259">
        <f t="shared" si="0"/>
        <v>2</v>
      </c>
    </row>
    <row r="9" spans="2:7" ht="47.25" x14ac:dyDescent="0.2">
      <c r="B9" s="254">
        <v>7</v>
      </c>
      <c r="C9" s="262" t="s">
        <v>357</v>
      </c>
      <c r="D9" s="365" t="s">
        <v>395</v>
      </c>
      <c r="E9" s="263">
        <v>8</v>
      </c>
      <c r="F9" s="264">
        <v>1</v>
      </c>
      <c r="G9" s="259">
        <f t="shared" si="0"/>
        <v>8</v>
      </c>
    </row>
    <row r="10" spans="2:7" ht="31.5" x14ac:dyDescent="0.2">
      <c r="B10" s="260">
        <v>8</v>
      </c>
      <c r="C10" s="262" t="s">
        <v>357</v>
      </c>
      <c r="D10" s="365" t="s">
        <v>465</v>
      </c>
      <c r="E10" s="263">
        <v>8</v>
      </c>
      <c r="F10" s="264">
        <v>2</v>
      </c>
      <c r="G10" s="259">
        <f t="shared" si="0"/>
        <v>16</v>
      </c>
    </row>
    <row r="11" spans="2:7" ht="78.75" x14ac:dyDescent="0.2">
      <c r="B11" s="254">
        <v>9</v>
      </c>
      <c r="C11" s="256" t="s">
        <v>357</v>
      </c>
      <c r="D11" s="364" t="s">
        <v>405</v>
      </c>
      <c r="E11" s="257">
        <v>4</v>
      </c>
      <c r="F11" s="258">
        <v>3.5</v>
      </c>
      <c r="G11" s="259">
        <f t="shared" si="0"/>
        <v>14</v>
      </c>
    </row>
    <row r="12" spans="2:7" ht="15.75" x14ac:dyDescent="0.2">
      <c r="B12" s="260">
        <v>10</v>
      </c>
      <c r="C12" s="262" t="s">
        <v>357</v>
      </c>
      <c r="D12" s="365" t="s">
        <v>407</v>
      </c>
      <c r="E12" s="263">
        <v>1</v>
      </c>
      <c r="F12" s="264">
        <v>4</v>
      </c>
      <c r="G12" s="259">
        <f t="shared" ref="G12:G16" si="1">F12*E12</f>
        <v>4</v>
      </c>
    </row>
    <row r="13" spans="2:7" ht="31.5" x14ac:dyDescent="0.2">
      <c r="B13" s="254">
        <v>11</v>
      </c>
      <c r="C13" s="262" t="s">
        <v>357</v>
      </c>
      <c r="D13" s="365" t="s">
        <v>415</v>
      </c>
      <c r="E13" s="263">
        <v>1</v>
      </c>
      <c r="F13" s="264">
        <v>5</v>
      </c>
      <c r="G13" s="259">
        <f t="shared" si="1"/>
        <v>5</v>
      </c>
    </row>
    <row r="14" spans="2:7" ht="78.75" x14ac:dyDescent="0.2">
      <c r="B14" s="260">
        <v>12</v>
      </c>
      <c r="C14" s="256" t="s">
        <v>357</v>
      </c>
      <c r="D14" s="365" t="s">
        <v>479</v>
      </c>
      <c r="E14" s="257">
        <v>4</v>
      </c>
      <c r="F14" s="258">
        <v>8</v>
      </c>
      <c r="G14" s="259">
        <f t="shared" si="1"/>
        <v>32</v>
      </c>
    </row>
    <row r="15" spans="2:7" ht="31.5" x14ac:dyDescent="0.2">
      <c r="B15" s="254">
        <v>13</v>
      </c>
      <c r="C15" s="262" t="s">
        <v>357</v>
      </c>
      <c r="D15" s="365" t="s">
        <v>419</v>
      </c>
      <c r="E15" s="263">
        <v>2</v>
      </c>
      <c r="F15" s="264">
        <v>8</v>
      </c>
      <c r="G15" s="259">
        <f t="shared" si="1"/>
        <v>16</v>
      </c>
    </row>
    <row r="16" spans="2:7" ht="31.5" x14ac:dyDescent="0.2">
      <c r="B16" s="260">
        <v>14</v>
      </c>
      <c r="C16" s="262" t="s">
        <v>357</v>
      </c>
      <c r="D16" s="365" t="s">
        <v>422</v>
      </c>
      <c r="E16" s="263">
        <v>4</v>
      </c>
      <c r="F16" s="264">
        <v>3</v>
      </c>
      <c r="G16" s="259">
        <f t="shared" si="1"/>
        <v>12</v>
      </c>
    </row>
    <row r="17" spans="2:9" ht="15.75" x14ac:dyDescent="0.2">
      <c r="B17" s="254">
        <v>15</v>
      </c>
      <c r="C17" s="262" t="s">
        <v>357</v>
      </c>
      <c r="D17" s="365" t="s">
        <v>429</v>
      </c>
      <c r="E17" s="263">
        <v>1</v>
      </c>
      <c r="F17" s="264">
        <v>7</v>
      </c>
      <c r="G17" s="259">
        <f>F17*E17</f>
        <v>7</v>
      </c>
    </row>
    <row r="18" spans="2:9" ht="15.75" x14ac:dyDescent="0.2">
      <c r="B18" s="553" t="s">
        <v>306</v>
      </c>
      <c r="C18" s="554"/>
      <c r="D18" s="554"/>
      <c r="E18" s="554"/>
      <c r="F18" s="555"/>
      <c r="G18" s="290">
        <f>SUM(G3:G17)</f>
        <v>163.4</v>
      </c>
    </row>
    <row r="19" spans="2:9" x14ac:dyDescent="0.2">
      <c r="B19" s="563" t="s">
        <v>201</v>
      </c>
      <c r="C19" s="563"/>
      <c r="D19" s="563"/>
      <c r="E19" s="563"/>
      <c r="F19" s="563"/>
      <c r="G19" s="337">
        <f>G18/4</f>
        <v>40.85</v>
      </c>
      <c r="H19" s="338">
        <f>SUM('ANEXO VII'!I55:K57)</f>
        <v>4999802.8482969869</v>
      </c>
    </row>
    <row r="20" spans="2:9" x14ac:dyDescent="0.2">
      <c r="B20" s="556"/>
      <c r="C20" s="556"/>
      <c r="D20" s="556"/>
      <c r="E20" s="556"/>
      <c r="F20" s="556"/>
      <c r="G20" s="556"/>
      <c r="H20" s="556"/>
      <c r="I20" s="556"/>
    </row>
    <row r="23" spans="2:9" x14ac:dyDescent="0.2">
      <c r="B23" s="562" t="s">
        <v>466</v>
      </c>
      <c r="C23" s="562"/>
      <c r="D23" s="562"/>
      <c r="E23" s="562"/>
      <c r="F23" s="562"/>
      <c r="G23" s="562"/>
    </row>
    <row r="24" spans="2:9" ht="47.25" x14ac:dyDescent="0.2">
      <c r="B24" s="353" t="s">
        <v>268</v>
      </c>
      <c r="C24" s="354" t="s">
        <v>350</v>
      </c>
      <c r="D24" s="355" t="s">
        <v>270</v>
      </c>
      <c r="E24" s="356" t="s">
        <v>352</v>
      </c>
      <c r="F24" s="357" t="s">
        <v>353</v>
      </c>
      <c r="G24" s="290" t="s">
        <v>121</v>
      </c>
    </row>
    <row r="25" spans="2:9" ht="75" x14ac:dyDescent="0.2">
      <c r="B25" s="339">
        <v>1</v>
      </c>
      <c r="C25" s="339"/>
      <c r="D25" s="358" t="s">
        <v>468</v>
      </c>
      <c r="E25" s="339">
        <v>1</v>
      </c>
      <c r="F25" s="339">
        <v>2000</v>
      </c>
      <c r="G25" s="336">
        <f>F25*E25</f>
        <v>2000</v>
      </c>
    </row>
    <row r="26" spans="2:9" ht="15.75" x14ac:dyDescent="0.2">
      <c r="B26" s="553" t="s">
        <v>306</v>
      </c>
      <c r="C26" s="554"/>
      <c r="D26" s="554"/>
      <c r="E26" s="554"/>
      <c r="F26" s="555"/>
      <c r="G26" s="290">
        <f>SUM(G25)</f>
        <v>2000</v>
      </c>
    </row>
    <row r="27" spans="2:9" x14ac:dyDescent="0.2">
      <c r="B27" s="563" t="s">
        <v>201</v>
      </c>
      <c r="C27" s="563"/>
      <c r="D27" s="563"/>
      <c r="E27" s="563"/>
      <c r="F27" s="563"/>
      <c r="G27" s="337">
        <f>G26/4/12</f>
        <v>41.666666666666664</v>
      </c>
    </row>
  </sheetData>
  <autoFilter ref="A2:K19" xr:uid="{6F239546-0A5E-4922-A790-5EC42B13BFB8}"/>
  <mergeCells count="7">
    <mergeCell ref="B27:F27"/>
    <mergeCell ref="B23:G23"/>
    <mergeCell ref="B26:F26"/>
    <mergeCell ref="B20:I20"/>
    <mergeCell ref="B1:G1"/>
    <mergeCell ref="B18:F18"/>
    <mergeCell ref="B19:F19"/>
  </mergeCells>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1B5BA-D142-4B1C-AC90-BCE5C2187CBD}">
  <dimension ref="B1:I32"/>
  <sheetViews>
    <sheetView topLeftCell="A28" zoomScale="70" zoomScaleNormal="70" workbookViewId="0">
      <selection activeCell="I31" sqref="I31"/>
    </sheetView>
  </sheetViews>
  <sheetFormatPr defaultRowHeight="15" x14ac:dyDescent="0.2"/>
  <cols>
    <col min="1" max="3" width="9.140625" style="225"/>
    <col min="4" max="4" width="34.42578125" style="225" customWidth="1"/>
    <col min="5" max="5" width="13.28515625" style="225" customWidth="1"/>
    <col min="6" max="6" width="12" style="225" customWidth="1"/>
    <col min="7" max="7" width="15.85546875" style="350" bestFit="1" customWidth="1"/>
    <col min="8" max="8" width="17.7109375" style="225" bestFit="1" customWidth="1"/>
    <col min="9" max="9" width="9.140625" style="225"/>
    <col min="10" max="10" width="19.7109375" style="225" bestFit="1" customWidth="1"/>
    <col min="11" max="16384" width="9.140625" style="225"/>
  </cols>
  <sheetData>
    <row r="1" spans="2:7" x14ac:dyDescent="0.2">
      <c r="B1" s="562" t="s">
        <v>467</v>
      </c>
      <c r="C1" s="562"/>
      <c r="D1" s="562"/>
      <c r="E1" s="562"/>
      <c r="F1" s="562"/>
      <c r="G1" s="562"/>
    </row>
    <row r="2" spans="2:7" ht="47.25" x14ac:dyDescent="0.2">
      <c r="B2" s="226" t="s">
        <v>268</v>
      </c>
      <c r="C2" s="269" t="s">
        <v>350</v>
      </c>
      <c r="D2" s="248" t="s">
        <v>270</v>
      </c>
      <c r="E2" s="228" t="s">
        <v>352</v>
      </c>
      <c r="F2" s="249" t="s">
        <v>353</v>
      </c>
      <c r="G2" s="279" t="s">
        <v>121</v>
      </c>
    </row>
    <row r="3" spans="2:7" ht="78.75" x14ac:dyDescent="0.2">
      <c r="B3" s="254">
        <v>1</v>
      </c>
      <c r="C3" s="256" t="s">
        <v>354</v>
      </c>
      <c r="D3" s="366" t="s">
        <v>480</v>
      </c>
      <c r="E3" s="257">
        <v>2</v>
      </c>
      <c r="F3" s="258">
        <v>5</v>
      </c>
      <c r="G3" s="259">
        <f t="shared" ref="G3:G16" si="0">F3*E3</f>
        <v>10</v>
      </c>
    </row>
    <row r="4" spans="2:7" ht="47.25" x14ac:dyDescent="0.2">
      <c r="B4" s="260">
        <v>2</v>
      </c>
      <c r="C4" s="262" t="s">
        <v>357</v>
      </c>
      <c r="D4" s="366" t="s">
        <v>481</v>
      </c>
      <c r="E4" s="263">
        <v>1</v>
      </c>
      <c r="F4" s="264">
        <v>7</v>
      </c>
      <c r="G4" s="259">
        <f t="shared" si="0"/>
        <v>7</v>
      </c>
    </row>
    <row r="5" spans="2:7" ht="47.25" x14ac:dyDescent="0.2">
      <c r="B5" s="254">
        <v>3</v>
      </c>
      <c r="C5" s="262" t="s">
        <v>357</v>
      </c>
      <c r="D5" s="367" t="s">
        <v>362</v>
      </c>
      <c r="E5" s="263">
        <v>4</v>
      </c>
      <c r="F5" s="264">
        <v>5</v>
      </c>
      <c r="G5" s="259">
        <f t="shared" si="0"/>
        <v>20</v>
      </c>
    </row>
    <row r="6" spans="2:7" ht="63" x14ac:dyDescent="0.2">
      <c r="B6" s="260">
        <v>4</v>
      </c>
      <c r="C6" s="262" t="s">
        <v>357</v>
      </c>
      <c r="D6" s="367" t="s">
        <v>464</v>
      </c>
      <c r="E6" s="263">
        <v>1</v>
      </c>
      <c r="F6" s="264">
        <v>8</v>
      </c>
      <c r="G6" s="259">
        <f t="shared" si="0"/>
        <v>8</v>
      </c>
    </row>
    <row r="7" spans="2:7" ht="47.25" x14ac:dyDescent="0.2">
      <c r="B7" s="254">
        <v>5</v>
      </c>
      <c r="C7" s="262" t="s">
        <v>357</v>
      </c>
      <c r="D7" s="367" t="s">
        <v>374</v>
      </c>
      <c r="E7" s="263">
        <v>6</v>
      </c>
      <c r="F7" s="264">
        <v>0.4</v>
      </c>
      <c r="G7" s="259">
        <f t="shared" si="0"/>
        <v>2.4000000000000004</v>
      </c>
    </row>
    <row r="8" spans="2:7" ht="31.5" x14ac:dyDescent="0.2">
      <c r="B8" s="260">
        <v>6</v>
      </c>
      <c r="C8" s="273" t="s">
        <v>378</v>
      </c>
      <c r="D8" s="367" t="s">
        <v>379</v>
      </c>
      <c r="E8" s="263">
        <v>2</v>
      </c>
      <c r="F8" s="264">
        <v>1</v>
      </c>
      <c r="G8" s="259">
        <f t="shared" si="0"/>
        <v>2</v>
      </c>
    </row>
    <row r="9" spans="2:7" ht="47.25" x14ac:dyDescent="0.2">
      <c r="B9" s="254">
        <v>7</v>
      </c>
      <c r="C9" s="262" t="s">
        <v>357</v>
      </c>
      <c r="D9" s="367" t="s">
        <v>395</v>
      </c>
      <c r="E9" s="263">
        <v>8</v>
      </c>
      <c r="F9" s="264">
        <v>1</v>
      </c>
      <c r="G9" s="259">
        <f t="shared" si="0"/>
        <v>8</v>
      </c>
    </row>
    <row r="10" spans="2:7" ht="31.5" x14ac:dyDescent="0.2">
      <c r="B10" s="260">
        <v>8</v>
      </c>
      <c r="C10" s="262" t="s">
        <v>357</v>
      </c>
      <c r="D10" s="367" t="s">
        <v>465</v>
      </c>
      <c r="E10" s="263">
        <v>8</v>
      </c>
      <c r="F10" s="264">
        <v>2</v>
      </c>
      <c r="G10" s="259">
        <f t="shared" si="0"/>
        <v>16</v>
      </c>
    </row>
    <row r="11" spans="2:7" ht="78.75" x14ac:dyDescent="0.2">
      <c r="B11" s="254">
        <v>9</v>
      </c>
      <c r="C11" s="256" t="s">
        <v>357</v>
      </c>
      <c r="D11" s="366" t="s">
        <v>482</v>
      </c>
      <c r="E11" s="257">
        <v>4</v>
      </c>
      <c r="F11" s="258">
        <v>3.5</v>
      </c>
      <c r="G11" s="259">
        <f t="shared" si="0"/>
        <v>14</v>
      </c>
    </row>
    <row r="12" spans="2:7" ht="15.75" x14ac:dyDescent="0.2">
      <c r="B12" s="260">
        <v>10</v>
      </c>
      <c r="C12" s="262" t="s">
        <v>357</v>
      </c>
      <c r="D12" s="367" t="s">
        <v>407</v>
      </c>
      <c r="E12" s="263">
        <v>1</v>
      </c>
      <c r="F12" s="264">
        <v>4</v>
      </c>
      <c r="G12" s="259">
        <f t="shared" si="0"/>
        <v>4</v>
      </c>
    </row>
    <row r="13" spans="2:7" ht="31.5" x14ac:dyDescent="0.2">
      <c r="B13" s="254">
        <v>11</v>
      </c>
      <c r="C13" s="262" t="s">
        <v>357</v>
      </c>
      <c r="D13" s="367" t="s">
        <v>415</v>
      </c>
      <c r="E13" s="263">
        <v>1</v>
      </c>
      <c r="F13" s="264">
        <v>5</v>
      </c>
      <c r="G13" s="259">
        <f t="shared" si="0"/>
        <v>5</v>
      </c>
    </row>
    <row r="14" spans="2:7" ht="78.75" x14ac:dyDescent="0.2">
      <c r="B14" s="260">
        <v>12</v>
      </c>
      <c r="C14" s="256" t="s">
        <v>357</v>
      </c>
      <c r="D14" s="367" t="s">
        <v>479</v>
      </c>
      <c r="E14" s="257">
        <v>4</v>
      </c>
      <c r="F14" s="258">
        <v>8</v>
      </c>
      <c r="G14" s="259">
        <f t="shared" si="0"/>
        <v>32</v>
      </c>
    </row>
    <row r="15" spans="2:7" ht="31.5" x14ac:dyDescent="0.2">
      <c r="B15" s="254">
        <v>13</v>
      </c>
      <c r="C15" s="262" t="s">
        <v>357</v>
      </c>
      <c r="D15" s="367" t="s">
        <v>419</v>
      </c>
      <c r="E15" s="263">
        <v>2</v>
      </c>
      <c r="F15" s="264">
        <v>8</v>
      </c>
      <c r="G15" s="259">
        <f t="shared" si="0"/>
        <v>16</v>
      </c>
    </row>
    <row r="16" spans="2:7" ht="31.5" x14ac:dyDescent="0.2">
      <c r="B16" s="260">
        <v>14</v>
      </c>
      <c r="C16" s="262" t="s">
        <v>357</v>
      </c>
      <c r="D16" s="367" t="s">
        <v>422</v>
      </c>
      <c r="E16" s="263">
        <v>4</v>
      </c>
      <c r="F16" s="264">
        <v>3</v>
      </c>
      <c r="G16" s="259">
        <f t="shared" si="0"/>
        <v>12</v>
      </c>
    </row>
    <row r="17" spans="2:9" ht="15.75" x14ac:dyDescent="0.2">
      <c r="B17" s="254">
        <v>15</v>
      </c>
      <c r="C17" s="262" t="s">
        <v>357</v>
      </c>
      <c r="D17" s="367" t="s">
        <v>429</v>
      </c>
      <c r="E17" s="263">
        <v>1</v>
      </c>
      <c r="F17" s="264">
        <v>7</v>
      </c>
      <c r="G17" s="259">
        <f>F17*E17</f>
        <v>7</v>
      </c>
    </row>
    <row r="18" spans="2:9" ht="15.75" x14ac:dyDescent="0.2">
      <c r="B18" s="553" t="s">
        <v>306</v>
      </c>
      <c r="C18" s="554"/>
      <c r="D18" s="554"/>
      <c r="E18" s="554"/>
      <c r="F18" s="555"/>
      <c r="G18" s="290">
        <f>SUM(G3:G17)</f>
        <v>163.4</v>
      </c>
    </row>
    <row r="19" spans="2:9" x14ac:dyDescent="0.2">
      <c r="B19" s="563" t="s">
        <v>201</v>
      </c>
      <c r="C19" s="563"/>
      <c r="D19" s="563"/>
      <c r="E19" s="563"/>
      <c r="F19" s="563"/>
      <c r="G19" s="349">
        <f>G18/4*2</f>
        <v>81.7</v>
      </c>
      <c r="H19" s="350">
        <f>SUM('ANEXO VII'!I55:K57)</f>
        <v>4999802.8482969869</v>
      </c>
    </row>
    <row r="20" spans="2:9" x14ac:dyDescent="0.2">
      <c r="B20" s="556"/>
      <c r="C20" s="556"/>
      <c r="D20" s="556"/>
      <c r="E20" s="556"/>
      <c r="F20" s="556"/>
      <c r="G20" s="556"/>
      <c r="H20" s="556"/>
      <c r="I20" s="556"/>
    </row>
    <row r="23" spans="2:9" x14ac:dyDescent="0.2">
      <c r="B23" s="562" t="s">
        <v>466</v>
      </c>
      <c r="C23" s="562"/>
      <c r="D23" s="562"/>
      <c r="E23" s="562"/>
      <c r="F23" s="562"/>
      <c r="G23" s="562"/>
    </row>
    <row r="24" spans="2:9" ht="47.25" x14ac:dyDescent="0.2">
      <c r="B24" s="353" t="s">
        <v>268</v>
      </c>
      <c r="C24" s="354" t="s">
        <v>350</v>
      </c>
      <c r="D24" s="355" t="s">
        <v>270</v>
      </c>
      <c r="E24" s="356" t="s">
        <v>352</v>
      </c>
      <c r="F24" s="357" t="s">
        <v>353</v>
      </c>
      <c r="G24" s="290" t="s">
        <v>121</v>
      </c>
    </row>
    <row r="25" spans="2:9" ht="60" x14ac:dyDescent="0.2">
      <c r="B25" s="352">
        <v>1</v>
      </c>
      <c r="C25" s="352"/>
      <c r="D25" s="358" t="s">
        <v>487</v>
      </c>
      <c r="E25" s="352">
        <v>1</v>
      </c>
      <c r="F25" s="352">
        <v>2000</v>
      </c>
      <c r="G25" s="351">
        <f>F25*E25</f>
        <v>2000</v>
      </c>
    </row>
    <row r="26" spans="2:9" ht="45" x14ac:dyDescent="0.2">
      <c r="B26" s="352">
        <v>2</v>
      </c>
      <c r="C26" s="352"/>
      <c r="D26" s="358" t="s">
        <v>483</v>
      </c>
      <c r="E26" s="352">
        <v>1</v>
      </c>
      <c r="F26" s="352">
        <v>500</v>
      </c>
      <c r="G26" s="351">
        <f t="shared" ref="G26:G30" si="1">F26*E26</f>
        <v>500</v>
      </c>
    </row>
    <row r="27" spans="2:9" ht="45" x14ac:dyDescent="0.2">
      <c r="B27" s="352">
        <v>3</v>
      </c>
      <c r="C27" s="352"/>
      <c r="D27" s="358" t="s">
        <v>484</v>
      </c>
      <c r="E27" s="352">
        <v>1</v>
      </c>
      <c r="F27" s="352">
        <v>500</v>
      </c>
      <c r="G27" s="351">
        <f t="shared" si="1"/>
        <v>500</v>
      </c>
    </row>
    <row r="28" spans="2:9" ht="75" x14ac:dyDescent="0.2">
      <c r="B28" s="352">
        <v>4</v>
      </c>
      <c r="C28" s="352"/>
      <c r="D28" s="358" t="s">
        <v>485</v>
      </c>
      <c r="E28" s="352">
        <v>1</v>
      </c>
      <c r="F28" s="352">
        <v>100</v>
      </c>
      <c r="G28" s="351">
        <f t="shared" si="1"/>
        <v>100</v>
      </c>
    </row>
    <row r="29" spans="2:9" ht="45" x14ac:dyDescent="0.2">
      <c r="B29" s="352">
        <v>5</v>
      </c>
      <c r="C29" s="352"/>
      <c r="D29" s="358" t="s">
        <v>486</v>
      </c>
      <c r="E29" s="352">
        <v>1</v>
      </c>
      <c r="F29" s="352">
        <v>70</v>
      </c>
      <c r="G29" s="351">
        <f t="shared" si="1"/>
        <v>70</v>
      </c>
    </row>
    <row r="30" spans="2:9" ht="45" x14ac:dyDescent="0.2">
      <c r="B30" s="352">
        <v>5</v>
      </c>
      <c r="C30" s="352"/>
      <c r="D30" s="358" t="s">
        <v>450</v>
      </c>
      <c r="E30" s="352">
        <v>1</v>
      </c>
      <c r="F30" s="352">
        <v>100</v>
      </c>
      <c r="G30" s="351">
        <f t="shared" si="1"/>
        <v>100</v>
      </c>
    </row>
    <row r="31" spans="2:9" ht="15.75" x14ac:dyDescent="0.2">
      <c r="B31" s="553" t="s">
        <v>306</v>
      </c>
      <c r="C31" s="554"/>
      <c r="D31" s="554"/>
      <c r="E31" s="554"/>
      <c r="F31" s="555"/>
      <c r="G31" s="290">
        <f>SUM(G25:G30)</f>
        <v>3270</v>
      </c>
    </row>
    <row r="32" spans="2:9" x14ac:dyDescent="0.2">
      <c r="B32" s="563" t="s">
        <v>201</v>
      </c>
      <c r="C32" s="563"/>
      <c r="D32" s="563"/>
      <c r="E32" s="563"/>
      <c r="F32" s="563"/>
      <c r="G32" s="349">
        <f>G31/4/12</f>
        <v>68.125</v>
      </c>
    </row>
  </sheetData>
  <autoFilter ref="A2:K19" xr:uid="{6F239546-0A5E-4922-A790-5EC42B13BFB8}"/>
  <mergeCells count="7">
    <mergeCell ref="B32:F32"/>
    <mergeCell ref="B1:G1"/>
    <mergeCell ref="B18:F18"/>
    <mergeCell ref="B19:F19"/>
    <mergeCell ref="B20:I20"/>
    <mergeCell ref="B23:G23"/>
    <mergeCell ref="B31:F31"/>
  </mergeCells>
  <pageMargins left="0.511811024" right="0.511811024" top="0.78740157499999996" bottom="0.78740157499999996" header="0.31496062000000002" footer="0.31496062000000002"/>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A8774-43FD-46C0-83C4-51D3D333B71D}">
  <dimension ref="B3:E14"/>
  <sheetViews>
    <sheetView workbookViewId="0">
      <selection activeCell="C4" sqref="C4"/>
    </sheetView>
  </sheetViews>
  <sheetFormatPr defaultRowHeight="12.75" x14ac:dyDescent="0.2"/>
  <cols>
    <col min="2" max="2" width="42.7109375" bestFit="1" customWidth="1"/>
    <col min="3" max="3" width="15.85546875" bestFit="1" customWidth="1"/>
    <col min="4" max="4" width="18.5703125" bestFit="1" customWidth="1"/>
    <col min="5" max="5" width="29.85546875" bestFit="1" customWidth="1"/>
  </cols>
  <sheetData>
    <row r="3" spans="2:5" x14ac:dyDescent="0.2">
      <c r="B3" s="334" t="s">
        <v>469</v>
      </c>
      <c r="C3" s="337">
        <f>C5/C4</f>
        <v>3893.927451944694</v>
      </c>
    </row>
    <row r="4" spans="2:5" x14ac:dyDescent="0.2">
      <c r="B4" s="334" t="s">
        <v>470</v>
      </c>
      <c r="C4" s="334">
        <v>107</v>
      </c>
    </row>
    <row r="5" spans="2:5" x14ac:dyDescent="0.2">
      <c r="B5" s="334" t="s">
        <v>201</v>
      </c>
      <c r="C5" s="360">
        <f>C6/12</f>
        <v>416650.23735808226</v>
      </c>
    </row>
    <row r="6" spans="2:5" x14ac:dyDescent="0.2">
      <c r="B6" s="334" t="s">
        <v>471</v>
      </c>
      <c r="C6" s="336">
        <f>'ANEXO VII'!L58</f>
        <v>4999802.8482969869</v>
      </c>
    </row>
    <row r="9" spans="2:5" s="361" customFormat="1" x14ac:dyDescent="0.2">
      <c r="B9" s="362" t="s">
        <v>472</v>
      </c>
      <c r="C9" s="335" t="s">
        <v>244</v>
      </c>
      <c r="D9" s="335" t="s">
        <v>473</v>
      </c>
      <c r="E9" s="335" t="s">
        <v>474</v>
      </c>
    </row>
    <row r="10" spans="2:5" x14ac:dyDescent="0.2">
      <c r="B10" s="334" t="s">
        <v>202</v>
      </c>
      <c r="C10" s="334">
        <v>800</v>
      </c>
      <c r="D10" s="337">
        <f>'ASG INT CAPI'!I122</f>
        <v>4351.7087135278089</v>
      </c>
      <c r="E10" s="336">
        <f>'ASG INT CAPI'!H149</f>
        <v>4.3517087135278087</v>
      </c>
    </row>
    <row r="11" spans="2:5" x14ac:dyDescent="0.2">
      <c r="B11" s="334" t="s">
        <v>203</v>
      </c>
      <c r="C11" s="334">
        <v>6000</v>
      </c>
      <c r="D11" s="337">
        <f>'ASG EXT CAPI'!I122</f>
        <v>4351.7087135278089</v>
      </c>
      <c r="E11" s="336">
        <f>'ASG EXT CAPI'!H148</f>
        <v>1.9340927615679151</v>
      </c>
    </row>
    <row r="12" spans="2:5" x14ac:dyDescent="0.2">
      <c r="B12" s="334" t="s">
        <v>475</v>
      </c>
      <c r="C12" s="334">
        <v>360</v>
      </c>
      <c r="D12" s="337">
        <f>'ASG HOSP CAPI'!I122</f>
        <v>4351.7087135278089</v>
      </c>
      <c r="E12" s="336">
        <f>'ASG HOSP CAPI'!H148</f>
        <v>10.744959786488417</v>
      </c>
    </row>
    <row r="13" spans="2:5" x14ac:dyDescent="0.2">
      <c r="B13" s="334" t="s">
        <v>476</v>
      </c>
      <c r="C13" s="334">
        <v>200</v>
      </c>
      <c r="D13" s="337">
        <f>'ASG BANH CAPI'!I122</f>
        <v>4351.7087135278089</v>
      </c>
      <c r="E13" s="336">
        <f>'ASG BANH CAPI'!H148</f>
        <v>17.406834854111235</v>
      </c>
    </row>
    <row r="14" spans="2:5" x14ac:dyDescent="0.2">
      <c r="B14" s="334" t="s">
        <v>477</v>
      </c>
      <c r="C14" s="334">
        <v>300</v>
      </c>
      <c r="D14" s="337">
        <f>'ASG ESQU CAPI'!I122</f>
        <v>4783.09526716238</v>
      </c>
      <c r="E14" s="336">
        <f>'ASG ESQU CAPI'!G148</f>
        <v>1.19</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DA2B-C94F-4581-BCA6-18C01BFD11DC}">
  <dimension ref="A2:S148"/>
  <sheetViews>
    <sheetView tabSelected="1" topLeftCell="A22" zoomScale="118" zoomScaleNormal="118" workbookViewId="0">
      <selection activeCell="I104" sqref="I104"/>
    </sheetView>
  </sheetViews>
  <sheetFormatPr defaultColWidth="9.140625" defaultRowHeight="12.75" x14ac:dyDescent="0.2"/>
  <cols>
    <col min="1" max="2" width="9.140625" style="45"/>
    <col min="3" max="3" width="13.42578125" style="45" customWidth="1"/>
    <col min="4" max="4" width="27.85546875" style="45" customWidth="1"/>
    <col min="5" max="5" width="9.140625" style="45"/>
    <col min="6" max="6" width="13.140625" style="45" customWidth="1"/>
    <col min="7" max="7" width="9.140625" style="45"/>
    <col min="8" max="8" width="32.42578125" style="45"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128" t="s">
        <v>1</v>
      </c>
      <c r="B3" s="373" t="s">
        <v>2</v>
      </c>
      <c r="C3" s="373"/>
      <c r="D3" s="373"/>
      <c r="E3" s="373"/>
      <c r="F3" s="373"/>
      <c r="G3" s="373"/>
      <c r="H3" s="373"/>
      <c r="I3" s="1">
        <v>44182</v>
      </c>
      <c r="K3" s="127"/>
      <c r="L3" s="410"/>
      <c r="M3" s="410"/>
      <c r="N3" s="410"/>
      <c r="O3" s="410"/>
      <c r="P3" s="410"/>
      <c r="Q3" s="410"/>
      <c r="R3" s="416"/>
      <c r="S3" s="416"/>
    </row>
    <row r="4" spans="1:19" x14ac:dyDescent="0.2">
      <c r="A4" s="128" t="s">
        <v>3</v>
      </c>
      <c r="B4" s="373" t="s">
        <v>4</v>
      </c>
      <c r="C4" s="373"/>
      <c r="D4" s="373"/>
      <c r="E4" s="373"/>
      <c r="F4" s="373"/>
      <c r="G4" s="373"/>
      <c r="H4" s="373"/>
      <c r="I4" s="128" t="s">
        <v>183</v>
      </c>
      <c r="K4" s="127"/>
      <c r="L4" s="407"/>
      <c r="M4" s="407"/>
      <c r="N4" s="410"/>
      <c r="O4" s="410"/>
      <c r="P4" s="410"/>
      <c r="Q4" s="410"/>
      <c r="R4" s="410"/>
      <c r="S4" s="410"/>
    </row>
    <row r="5" spans="1:19" x14ac:dyDescent="0.2">
      <c r="A5" s="128" t="s">
        <v>5</v>
      </c>
      <c r="B5" s="373" t="s">
        <v>6</v>
      </c>
      <c r="C5" s="373"/>
      <c r="D5" s="373"/>
      <c r="E5" s="373"/>
      <c r="F5" s="373"/>
      <c r="G5" s="373"/>
      <c r="H5" s="373"/>
      <c r="I5" s="128">
        <v>2020</v>
      </c>
      <c r="K5" s="414"/>
      <c r="L5" s="414"/>
      <c r="M5" s="414"/>
      <c r="N5" s="414"/>
      <c r="O5" s="414"/>
      <c r="P5" s="414"/>
      <c r="Q5" s="414"/>
      <c r="R5" s="414"/>
      <c r="S5" s="414"/>
    </row>
    <row r="6" spans="1:19" x14ac:dyDescent="0.2">
      <c r="A6" s="128" t="s">
        <v>7</v>
      </c>
      <c r="B6" s="373" t="s">
        <v>8</v>
      </c>
      <c r="C6" s="373"/>
      <c r="D6" s="373"/>
      <c r="E6" s="373"/>
      <c r="F6" s="373"/>
      <c r="G6" s="373"/>
      <c r="H6" s="373"/>
      <c r="I6" s="128">
        <v>12</v>
      </c>
      <c r="K6" s="414"/>
      <c r="L6" s="414"/>
      <c r="M6" s="414"/>
      <c r="N6" s="414"/>
      <c r="O6" s="414"/>
      <c r="P6" s="414"/>
      <c r="Q6" s="414"/>
      <c r="R6" s="414"/>
      <c r="S6" s="414"/>
    </row>
    <row r="7" spans="1:19" x14ac:dyDescent="0.2">
      <c r="A7" s="131"/>
      <c r="B7" s="130"/>
      <c r="C7" s="130"/>
      <c r="D7" s="130"/>
      <c r="E7" s="130"/>
      <c r="F7" s="130"/>
      <c r="G7" s="130"/>
      <c r="H7" s="131"/>
      <c r="I7" s="131"/>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127"/>
      <c r="L9" s="406"/>
      <c r="M9" s="406"/>
      <c r="N9" s="406"/>
      <c r="O9" s="406"/>
      <c r="P9" s="406"/>
      <c r="Q9" s="406"/>
      <c r="R9" s="410"/>
      <c r="S9" s="410"/>
    </row>
    <row r="10" spans="1:19" ht="27" customHeight="1" x14ac:dyDescent="0.2">
      <c r="A10" s="411" t="s">
        <v>129</v>
      </c>
      <c r="B10" s="411"/>
      <c r="C10" s="370"/>
      <c r="D10" s="370"/>
      <c r="E10" s="412">
        <v>1</v>
      </c>
      <c r="F10" s="412"/>
      <c r="G10" s="412"/>
      <c r="H10" s="412"/>
      <c r="I10" s="412"/>
      <c r="K10" s="126"/>
      <c r="L10" s="408"/>
      <c r="M10" s="408"/>
      <c r="N10" s="408"/>
      <c r="O10" s="408"/>
      <c r="P10" s="408"/>
      <c r="Q10" s="408"/>
      <c r="R10" s="413"/>
      <c r="S10" s="413"/>
    </row>
    <row r="11" spans="1:19" x14ac:dyDescent="0.2">
      <c r="A11" s="131"/>
      <c r="B11" s="130"/>
      <c r="C11" s="130"/>
      <c r="D11" s="130"/>
      <c r="E11" s="130"/>
      <c r="F11" s="130"/>
      <c r="G11" s="130"/>
      <c r="H11" s="131"/>
      <c r="I11" s="131"/>
      <c r="K11" s="127"/>
      <c r="L11" s="406"/>
      <c r="M11" s="406"/>
      <c r="N11" s="406"/>
      <c r="O11" s="406"/>
      <c r="P11" s="406"/>
      <c r="Q11" s="406"/>
      <c r="R11" s="407"/>
      <c r="S11" s="407"/>
    </row>
    <row r="12" spans="1:19" x14ac:dyDescent="0.2">
      <c r="A12" s="395" t="s">
        <v>13</v>
      </c>
      <c r="B12" s="395"/>
      <c r="C12" s="395"/>
      <c r="D12" s="395"/>
      <c r="E12" s="395"/>
      <c r="F12" s="395"/>
      <c r="G12" s="395"/>
      <c r="H12" s="395"/>
      <c r="I12" s="395"/>
      <c r="K12" s="126"/>
      <c r="L12" s="408"/>
      <c r="M12" s="408"/>
      <c r="N12" s="408"/>
      <c r="O12" s="408"/>
      <c r="P12" s="408"/>
      <c r="Q12" s="408"/>
      <c r="R12" s="409"/>
      <c r="S12" s="409"/>
    </row>
    <row r="13" spans="1:19" x14ac:dyDescent="0.2">
      <c r="A13" s="128">
        <v>1</v>
      </c>
      <c r="B13" s="373" t="s">
        <v>14</v>
      </c>
      <c r="C13" s="373"/>
      <c r="D13" s="373"/>
      <c r="E13" s="373"/>
      <c r="F13" s="373"/>
      <c r="G13" s="373"/>
      <c r="H13" s="373"/>
      <c r="I13" s="50" t="s">
        <v>184</v>
      </c>
      <c r="K13" s="2"/>
      <c r="L13" s="2"/>
      <c r="M13" s="2"/>
      <c r="N13" s="2"/>
      <c r="O13" s="2"/>
      <c r="P13" s="2"/>
      <c r="Q13" s="2"/>
      <c r="R13" s="2"/>
      <c r="S13" s="2"/>
    </row>
    <row r="14" spans="1:19" x14ac:dyDescent="0.2">
      <c r="A14" s="128">
        <v>2</v>
      </c>
      <c r="B14" s="373" t="s">
        <v>15</v>
      </c>
      <c r="C14" s="373"/>
      <c r="D14" s="373"/>
      <c r="E14" s="373"/>
      <c r="F14" s="373"/>
      <c r="G14" s="373"/>
      <c r="H14" s="373"/>
      <c r="I14" s="128"/>
    </row>
    <row r="15" spans="1:19" x14ac:dyDescent="0.2">
      <c r="A15" s="128">
        <v>3</v>
      </c>
      <c r="B15" s="373" t="s">
        <v>16</v>
      </c>
      <c r="C15" s="373"/>
      <c r="D15" s="373"/>
      <c r="E15" s="373"/>
      <c r="F15" s="373"/>
      <c r="G15" s="373"/>
      <c r="H15" s="373"/>
      <c r="I15" s="3">
        <v>1075</v>
      </c>
    </row>
    <row r="16" spans="1:19" x14ac:dyDescent="0.2">
      <c r="A16" s="128">
        <v>4</v>
      </c>
      <c r="B16" s="373" t="s">
        <v>17</v>
      </c>
      <c r="C16" s="373"/>
      <c r="D16" s="373"/>
      <c r="E16" s="373"/>
      <c r="F16" s="373"/>
      <c r="G16" s="373"/>
      <c r="H16" s="373"/>
      <c r="I16" s="1" t="str">
        <f>A10</f>
        <v>ASG</v>
      </c>
    </row>
    <row r="17" spans="1:12" x14ac:dyDescent="0.2">
      <c r="A17" s="128">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129">
        <v>1</v>
      </c>
      <c r="B20" s="389" t="s">
        <v>20</v>
      </c>
      <c r="C20" s="389"/>
      <c r="D20" s="389"/>
      <c r="E20" s="389"/>
      <c r="F20" s="389"/>
      <c r="G20" s="389"/>
      <c r="H20" s="129" t="s">
        <v>21</v>
      </c>
      <c r="I20" s="129" t="s">
        <v>22</v>
      </c>
    </row>
    <row r="21" spans="1:12" x14ac:dyDescent="0.2">
      <c r="A21" s="129" t="s">
        <v>1</v>
      </c>
      <c r="B21" s="373" t="s">
        <v>23</v>
      </c>
      <c r="C21" s="373"/>
      <c r="D21" s="373"/>
      <c r="E21" s="373"/>
      <c r="F21" s="373"/>
      <c r="G21" s="373"/>
      <c r="H21" s="4"/>
      <c r="I21" s="5">
        <f>I15</f>
        <v>1075</v>
      </c>
      <c r="L21" s="20">
        <f>I35+I46+I71+I81</f>
        <v>708.60565374999999</v>
      </c>
    </row>
    <row r="22" spans="1:12" x14ac:dyDescent="0.2">
      <c r="A22" s="129" t="s">
        <v>3</v>
      </c>
      <c r="B22" s="373" t="s">
        <v>24</v>
      </c>
      <c r="C22" s="373"/>
      <c r="D22" s="373"/>
      <c r="E22" s="373"/>
      <c r="F22" s="373"/>
      <c r="G22" s="373"/>
      <c r="H22" s="6"/>
      <c r="I22" s="5">
        <v>0</v>
      </c>
      <c r="L22" s="53">
        <f>L21/I28</f>
        <v>0.65916805000000001</v>
      </c>
    </row>
    <row r="23" spans="1:12" x14ac:dyDescent="0.2">
      <c r="A23" s="129" t="s">
        <v>5</v>
      </c>
      <c r="B23" s="373" t="s">
        <v>25</v>
      </c>
      <c r="C23" s="373"/>
      <c r="D23" s="373"/>
      <c r="E23" s="373"/>
      <c r="F23" s="373"/>
      <c r="G23" s="373"/>
      <c r="H23" s="6">
        <v>0</v>
      </c>
      <c r="I23" s="5">
        <f>I21*H23</f>
        <v>0</v>
      </c>
    </row>
    <row r="24" spans="1:12" x14ac:dyDescent="0.2">
      <c r="A24" s="129" t="s">
        <v>7</v>
      </c>
      <c r="B24" s="373" t="s">
        <v>26</v>
      </c>
      <c r="C24" s="373"/>
      <c r="D24" s="373"/>
      <c r="E24" s="373"/>
      <c r="F24" s="373"/>
      <c r="G24" s="373"/>
      <c r="H24" s="6"/>
      <c r="I24" s="5">
        <v>0</v>
      </c>
    </row>
    <row r="25" spans="1:12" x14ac:dyDescent="0.2">
      <c r="A25" s="129" t="s">
        <v>27</v>
      </c>
      <c r="B25" s="373" t="s">
        <v>28</v>
      </c>
      <c r="C25" s="373"/>
      <c r="D25" s="373"/>
      <c r="E25" s="373"/>
      <c r="F25" s="373"/>
      <c r="G25" s="373"/>
      <c r="H25" s="6"/>
      <c r="I25" s="5">
        <v>0</v>
      </c>
    </row>
    <row r="26" spans="1:12" x14ac:dyDescent="0.2">
      <c r="A26" s="129" t="s">
        <v>29</v>
      </c>
      <c r="B26" s="373" t="s">
        <v>30</v>
      </c>
      <c r="C26" s="373"/>
      <c r="D26" s="373"/>
      <c r="E26" s="373"/>
      <c r="F26" s="373"/>
      <c r="G26" s="373"/>
      <c r="H26" s="6"/>
      <c r="I26" s="5">
        <v>0</v>
      </c>
    </row>
    <row r="27" spans="1:12" x14ac:dyDescent="0.2">
      <c r="A27" s="129"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1075</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129" t="s">
        <v>21</v>
      </c>
      <c r="I31" s="129" t="s">
        <v>22</v>
      </c>
      <c r="J31" s="48"/>
    </row>
    <row r="32" spans="1:12" x14ac:dyDescent="0.2">
      <c r="A32" s="129" t="s">
        <v>1</v>
      </c>
      <c r="B32" s="373" t="s">
        <v>36</v>
      </c>
      <c r="C32" s="373"/>
      <c r="D32" s="373"/>
      <c r="E32" s="373"/>
      <c r="F32" s="373"/>
      <c r="G32" s="373"/>
      <c r="H32" s="10">
        <v>8.3299999999999999E-2</v>
      </c>
      <c r="I32" s="5">
        <f>$I$28*H32</f>
        <v>89.547499999999999</v>
      </c>
      <c r="J32" s="48"/>
    </row>
    <row r="33" spans="1:11" x14ac:dyDescent="0.2">
      <c r="A33" s="129" t="s">
        <v>3</v>
      </c>
      <c r="B33" s="373" t="s">
        <v>185</v>
      </c>
      <c r="C33" s="373"/>
      <c r="D33" s="373"/>
      <c r="E33" s="373"/>
      <c r="F33" s="373"/>
      <c r="G33" s="373"/>
      <c r="H33" s="11">
        <v>2.7799999999999998E-2</v>
      </c>
      <c r="I33" s="5">
        <f>H33*I28</f>
        <v>29.884999999999998</v>
      </c>
      <c r="J33" s="48"/>
    </row>
    <row r="34" spans="1:11" x14ac:dyDescent="0.2">
      <c r="A34" s="129" t="s">
        <v>132</v>
      </c>
      <c r="B34" s="373" t="s">
        <v>133</v>
      </c>
      <c r="C34" s="373"/>
      <c r="D34" s="373"/>
      <c r="E34" s="373"/>
      <c r="F34" s="373"/>
      <c r="G34" s="373"/>
      <c r="H34" s="11">
        <f>(H32+H33)*H46</f>
        <v>3.9784910000000007E-2</v>
      </c>
      <c r="I34" s="5">
        <f>I28*H34</f>
        <v>42.768778250000004</v>
      </c>
      <c r="J34" s="48"/>
    </row>
    <row r="35" spans="1:11" x14ac:dyDescent="0.2">
      <c r="A35" s="389" t="s">
        <v>37</v>
      </c>
      <c r="B35" s="389"/>
      <c r="C35" s="389"/>
      <c r="D35" s="389"/>
      <c r="E35" s="389"/>
      <c r="F35" s="389"/>
      <c r="G35" s="389"/>
      <c r="H35" s="12">
        <f>TRUNC(SUM(H32:H33),4)</f>
        <v>0.1111</v>
      </c>
      <c r="I35" s="13">
        <f>SUM(I32:I34)</f>
        <v>162.20127825</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129" t="s">
        <v>21</v>
      </c>
      <c r="I37" s="129" t="s">
        <v>22</v>
      </c>
      <c r="J37" s="48"/>
      <c r="K37" s="404"/>
    </row>
    <row r="38" spans="1:11" x14ac:dyDescent="0.2">
      <c r="A38" s="129" t="s">
        <v>1</v>
      </c>
      <c r="B38" s="373" t="s">
        <v>39</v>
      </c>
      <c r="C38" s="373"/>
      <c r="D38" s="373"/>
      <c r="E38" s="373"/>
      <c r="F38" s="373"/>
      <c r="G38" s="373"/>
      <c r="H38" s="10">
        <v>0.2</v>
      </c>
      <c r="I38" s="5">
        <f>($I$28)*H38</f>
        <v>215</v>
      </c>
      <c r="J38" s="48"/>
      <c r="K38" s="404"/>
    </row>
    <row r="39" spans="1:11" x14ac:dyDescent="0.2">
      <c r="A39" s="129" t="s">
        <v>3</v>
      </c>
      <c r="B39" s="373" t="s">
        <v>40</v>
      </c>
      <c r="C39" s="373"/>
      <c r="D39" s="373"/>
      <c r="E39" s="373"/>
      <c r="F39" s="373"/>
      <c r="G39" s="373"/>
      <c r="H39" s="10">
        <v>2.5000000000000001E-2</v>
      </c>
      <c r="I39" s="5">
        <f t="shared" ref="I39:I45" si="0">($I$28)*H39</f>
        <v>26.875</v>
      </c>
      <c r="J39" s="48"/>
      <c r="K39" s="404"/>
    </row>
    <row r="40" spans="1:11" x14ac:dyDescent="0.2">
      <c r="A40" s="129" t="s">
        <v>5</v>
      </c>
      <c r="B40" s="373" t="s">
        <v>41</v>
      </c>
      <c r="C40" s="373"/>
      <c r="D40" s="373"/>
      <c r="E40" s="373"/>
      <c r="F40" s="373"/>
      <c r="G40" s="373"/>
      <c r="H40" s="10">
        <v>2.01E-2</v>
      </c>
      <c r="I40" s="5">
        <f t="shared" si="0"/>
        <v>21.607499999999998</v>
      </c>
      <c r="J40" s="48"/>
      <c r="K40" s="404"/>
    </row>
    <row r="41" spans="1:11" x14ac:dyDescent="0.2">
      <c r="A41" s="129" t="s">
        <v>7</v>
      </c>
      <c r="B41" s="373" t="s">
        <v>42</v>
      </c>
      <c r="C41" s="373"/>
      <c r="D41" s="373"/>
      <c r="E41" s="373"/>
      <c r="F41" s="373"/>
      <c r="G41" s="373"/>
      <c r="H41" s="10">
        <v>1.4999999999999999E-2</v>
      </c>
      <c r="I41" s="5">
        <f t="shared" si="0"/>
        <v>16.125</v>
      </c>
      <c r="J41" s="48"/>
      <c r="K41" s="404"/>
    </row>
    <row r="42" spans="1:11" x14ac:dyDescent="0.2">
      <c r="A42" s="129" t="s">
        <v>27</v>
      </c>
      <c r="B42" s="373" t="s">
        <v>43</v>
      </c>
      <c r="C42" s="373"/>
      <c r="D42" s="373"/>
      <c r="E42" s="373"/>
      <c r="F42" s="373"/>
      <c r="G42" s="373"/>
      <c r="H42" s="10">
        <v>0.01</v>
      </c>
      <c r="I42" s="5">
        <f t="shared" si="0"/>
        <v>10.75</v>
      </c>
      <c r="J42" s="48"/>
      <c r="K42" s="404"/>
    </row>
    <row r="43" spans="1:11" x14ac:dyDescent="0.2">
      <c r="A43" s="129" t="s">
        <v>29</v>
      </c>
      <c r="B43" s="373" t="s">
        <v>44</v>
      </c>
      <c r="C43" s="373"/>
      <c r="D43" s="373"/>
      <c r="E43" s="373"/>
      <c r="F43" s="373"/>
      <c r="G43" s="373"/>
      <c r="H43" s="10">
        <v>6.0000000000000001E-3</v>
      </c>
      <c r="I43" s="5">
        <f t="shared" si="0"/>
        <v>6.45</v>
      </c>
      <c r="J43" s="48"/>
      <c r="K43" s="404"/>
    </row>
    <row r="44" spans="1:11" x14ac:dyDescent="0.2">
      <c r="A44" s="129" t="s">
        <v>31</v>
      </c>
      <c r="B44" s="373" t="s">
        <v>45</v>
      </c>
      <c r="C44" s="373"/>
      <c r="D44" s="373"/>
      <c r="E44" s="373"/>
      <c r="F44" s="373"/>
      <c r="G44" s="373"/>
      <c r="H44" s="10">
        <v>2E-3</v>
      </c>
      <c r="I44" s="5">
        <f t="shared" si="0"/>
        <v>2.15</v>
      </c>
      <c r="J44" s="48"/>
      <c r="K44" s="404"/>
    </row>
    <row r="45" spans="1:11" x14ac:dyDescent="0.2">
      <c r="A45" s="129" t="s">
        <v>46</v>
      </c>
      <c r="B45" s="373" t="s">
        <v>47</v>
      </c>
      <c r="C45" s="373"/>
      <c r="D45" s="373"/>
      <c r="E45" s="373"/>
      <c r="F45" s="373"/>
      <c r="G45" s="373"/>
      <c r="H45" s="10">
        <v>0.08</v>
      </c>
      <c r="I45" s="5">
        <f t="shared" si="0"/>
        <v>86</v>
      </c>
      <c r="J45" s="48"/>
      <c r="K45" s="404"/>
    </row>
    <row r="46" spans="1:11" x14ac:dyDescent="0.2">
      <c r="A46" s="389" t="s">
        <v>48</v>
      </c>
      <c r="B46" s="389"/>
      <c r="C46" s="389"/>
      <c r="D46" s="389"/>
      <c r="E46" s="389"/>
      <c r="F46" s="389"/>
      <c r="G46" s="389"/>
      <c r="H46" s="12">
        <f>SUM(H38:H45)</f>
        <v>0.35810000000000003</v>
      </c>
      <c r="I46" s="13">
        <f>(SUM(I38:I45))</f>
        <v>384.95749999999998</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129" t="s">
        <v>22</v>
      </c>
      <c r="J48" s="48"/>
    </row>
    <row r="49" spans="1:10" x14ac:dyDescent="0.2">
      <c r="A49" s="129" t="s">
        <v>1</v>
      </c>
      <c r="B49" s="393" t="s">
        <v>125</v>
      </c>
      <c r="C49" s="393"/>
      <c r="D49" s="393"/>
      <c r="E49" s="393"/>
      <c r="F49" s="393"/>
      <c r="G49" s="393"/>
      <c r="H49" s="55">
        <v>3.65</v>
      </c>
      <c r="I49" s="14">
        <f>(H49*2*22)-(I21*0.06)</f>
        <v>96.1</v>
      </c>
      <c r="J49" s="48"/>
    </row>
    <row r="50" spans="1:10" x14ac:dyDescent="0.2">
      <c r="A50" s="129" t="s">
        <v>3</v>
      </c>
      <c r="B50" s="393" t="s">
        <v>124</v>
      </c>
      <c r="C50" s="393"/>
      <c r="D50" s="393"/>
      <c r="E50" s="393"/>
      <c r="F50" s="393"/>
      <c r="G50" s="393"/>
      <c r="H50" s="55">
        <v>418</v>
      </c>
      <c r="I50" s="15">
        <f>H50*0.8</f>
        <v>334.40000000000003</v>
      </c>
      <c r="J50" s="49"/>
    </row>
    <row r="51" spans="1:10" x14ac:dyDescent="0.2">
      <c r="A51" s="129" t="s">
        <v>5</v>
      </c>
      <c r="B51" s="393" t="s">
        <v>126</v>
      </c>
      <c r="C51" s="393"/>
      <c r="D51" s="393"/>
      <c r="E51" s="393"/>
      <c r="F51" s="393"/>
      <c r="G51" s="393"/>
      <c r="H51" s="55">
        <v>0</v>
      </c>
      <c r="I51" s="14">
        <f>H51</f>
        <v>0</v>
      </c>
      <c r="J51" s="48"/>
    </row>
    <row r="52" spans="1:10" x14ac:dyDescent="0.2">
      <c r="A52" s="129" t="s">
        <v>7</v>
      </c>
      <c r="B52" s="397" t="s">
        <v>127</v>
      </c>
      <c r="C52" s="398"/>
      <c r="D52" s="398"/>
      <c r="E52" s="398"/>
      <c r="F52" s="398"/>
      <c r="G52" s="399"/>
      <c r="H52" s="55">
        <v>0</v>
      </c>
      <c r="I52" s="14">
        <f>H52</f>
        <v>0</v>
      </c>
      <c r="J52" s="48"/>
    </row>
    <row r="53" spans="1:10" x14ac:dyDescent="0.2">
      <c r="A53" s="129"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438.5</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129" t="s">
        <v>22</v>
      </c>
      <c r="J57" s="48"/>
    </row>
    <row r="58" spans="1:10" x14ac:dyDescent="0.2">
      <c r="A58" s="129" t="s">
        <v>54</v>
      </c>
      <c r="B58" s="370" t="s">
        <v>55</v>
      </c>
      <c r="C58" s="370"/>
      <c r="D58" s="370"/>
      <c r="E58" s="370"/>
      <c r="F58" s="370"/>
      <c r="G58" s="370"/>
      <c r="H58" s="370"/>
      <c r="I58" s="16">
        <f>I35</f>
        <v>162.20127825</v>
      </c>
      <c r="J58" s="48"/>
    </row>
    <row r="59" spans="1:10" x14ac:dyDescent="0.2">
      <c r="A59" s="129" t="s">
        <v>56</v>
      </c>
      <c r="B59" s="370" t="s">
        <v>57</v>
      </c>
      <c r="C59" s="370"/>
      <c r="D59" s="370"/>
      <c r="E59" s="370"/>
      <c r="F59" s="370"/>
      <c r="G59" s="370"/>
      <c r="H59" s="370"/>
      <c r="I59" s="16">
        <f>I46</f>
        <v>384.95749999999998</v>
      </c>
      <c r="J59" s="48"/>
    </row>
    <row r="60" spans="1:10" x14ac:dyDescent="0.2">
      <c r="A60" s="129" t="s">
        <v>58</v>
      </c>
      <c r="B60" s="370" t="s">
        <v>59</v>
      </c>
      <c r="C60" s="370"/>
      <c r="D60" s="370"/>
      <c r="E60" s="370"/>
      <c r="F60" s="370"/>
      <c r="G60" s="370"/>
      <c r="H60" s="370"/>
      <c r="I60" s="16">
        <f>I54</f>
        <v>438.5</v>
      </c>
      <c r="J60" s="48"/>
    </row>
    <row r="61" spans="1:10" x14ac:dyDescent="0.2">
      <c r="A61" s="389" t="s">
        <v>60</v>
      </c>
      <c r="B61" s="389"/>
      <c r="C61" s="389"/>
      <c r="D61" s="389"/>
      <c r="E61" s="389"/>
      <c r="F61" s="389"/>
      <c r="G61" s="389"/>
      <c r="H61" s="389"/>
      <c r="I61" s="13">
        <f>(SUM(I58:I60))</f>
        <v>985.65877824999995</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129">
        <v>3</v>
      </c>
      <c r="B64" s="389" t="s">
        <v>62</v>
      </c>
      <c r="C64" s="389"/>
      <c r="D64" s="389"/>
      <c r="E64" s="389"/>
      <c r="F64" s="389"/>
      <c r="G64" s="389"/>
      <c r="H64" s="129" t="s">
        <v>21</v>
      </c>
      <c r="I64" s="129" t="s">
        <v>22</v>
      </c>
      <c r="J64" s="48"/>
    </row>
    <row r="65" spans="1:11" x14ac:dyDescent="0.2">
      <c r="A65" s="129" t="s">
        <v>1</v>
      </c>
      <c r="B65" s="373" t="s">
        <v>63</v>
      </c>
      <c r="C65" s="373"/>
      <c r="D65" s="373"/>
      <c r="E65" s="373"/>
      <c r="F65" s="373"/>
      <c r="G65" s="373"/>
      <c r="H65" s="17">
        <v>4.1999999999999997E-3</v>
      </c>
      <c r="I65" s="16">
        <f>$I$28*H65</f>
        <v>4.5149999999999997</v>
      </c>
      <c r="J65" s="48"/>
    </row>
    <row r="66" spans="1:11" x14ac:dyDescent="0.2">
      <c r="A66" s="129" t="s">
        <v>3</v>
      </c>
      <c r="B66" s="373" t="s">
        <v>64</v>
      </c>
      <c r="C66" s="373"/>
      <c r="D66" s="373"/>
      <c r="E66" s="373"/>
      <c r="F66" s="373"/>
      <c r="G66" s="373"/>
      <c r="H66" s="17">
        <f>H45*H65</f>
        <v>3.3599999999999998E-4</v>
      </c>
      <c r="I66" s="5">
        <f>H66*I28</f>
        <v>0.36119999999999997</v>
      </c>
      <c r="J66" s="48"/>
    </row>
    <row r="67" spans="1:11" x14ac:dyDescent="0.2">
      <c r="A67" s="129" t="s">
        <v>5</v>
      </c>
      <c r="B67" s="373" t="s">
        <v>65</v>
      </c>
      <c r="C67" s="373"/>
      <c r="D67" s="373"/>
      <c r="E67" s="373"/>
      <c r="F67" s="373"/>
      <c r="G67" s="373"/>
      <c r="H67" s="18">
        <v>0.01</v>
      </c>
      <c r="I67" s="5">
        <f>$I$28*H67</f>
        <v>10.75</v>
      </c>
      <c r="J67" s="48"/>
    </row>
    <row r="68" spans="1:11" x14ac:dyDescent="0.2">
      <c r="A68" s="129" t="s">
        <v>7</v>
      </c>
      <c r="B68" s="373" t="s">
        <v>66</v>
      </c>
      <c r="C68" s="373"/>
      <c r="D68" s="373"/>
      <c r="E68" s="373"/>
      <c r="F68" s="373"/>
      <c r="G68" s="373"/>
      <c r="H68" s="46">
        <v>1.9400000000000001E-2</v>
      </c>
      <c r="I68" s="5">
        <f>$I$28*H68</f>
        <v>20.855</v>
      </c>
      <c r="J68" s="48"/>
    </row>
    <row r="69" spans="1:11" x14ac:dyDescent="0.2">
      <c r="A69" s="129" t="s">
        <v>27</v>
      </c>
      <c r="B69" s="373" t="s">
        <v>67</v>
      </c>
      <c r="C69" s="373"/>
      <c r="D69" s="373"/>
      <c r="E69" s="373"/>
      <c r="F69" s="373"/>
      <c r="G69" s="373"/>
      <c r="H69" s="19">
        <f>H46*H68</f>
        <v>6.947140000000001E-3</v>
      </c>
      <c r="I69" s="5">
        <f>$I$28*H69</f>
        <v>7.468175500000001</v>
      </c>
      <c r="J69" s="48"/>
    </row>
    <row r="70" spans="1:11" x14ac:dyDescent="0.2">
      <c r="A70" s="129" t="s">
        <v>29</v>
      </c>
      <c r="B70" s="373" t="s">
        <v>68</v>
      </c>
      <c r="C70" s="373"/>
      <c r="D70" s="373"/>
      <c r="E70" s="373"/>
      <c r="F70" s="373"/>
      <c r="G70" s="373"/>
      <c r="H70" s="54">
        <v>2.1999999999999999E-2</v>
      </c>
      <c r="I70" s="5">
        <f>$I$28*H70</f>
        <v>23.65</v>
      </c>
      <c r="J70" s="48"/>
      <c r="K70" s="20"/>
    </row>
    <row r="71" spans="1:11" x14ac:dyDescent="0.2">
      <c r="A71" s="389" t="s">
        <v>69</v>
      </c>
      <c r="B71" s="389"/>
      <c r="C71" s="389"/>
      <c r="D71" s="389"/>
      <c r="E71" s="389"/>
      <c r="F71" s="389"/>
      <c r="G71" s="389"/>
      <c r="H71" s="12">
        <f>TRUNC(SUM(H65:H70),4)</f>
        <v>6.2799999999999995E-2</v>
      </c>
      <c r="I71" s="13">
        <f>(SUM(I65:I70))</f>
        <v>67.599375500000008</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129" t="s">
        <v>21</v>
      </c>
      <c r="I74" s="129" t="s">
        <v>22</v>
      </c>
      <c r="J74" s="48"/>
    </row>
    <row r="75" spans="1:11" x14ac:dyDescent="0.2">
      <c r="A75" s="129" t="s">
        <v>1</v>
      </c>
      <c r="B75" s="373" t="s">
        <v>186</v>
      </c>
      <c r="C75" s="373"/>
      <c r="D75" s="373"/>
      <c r="E75" s="373"/>
      <c r="F75" s="373"/>
      <c r="G75" s="373"/>
      <c r="H75" s="148">
        <v>8.3299999999999999E-2</v>
      </c>
      <c r="I75" s="5">
        <f t="shared" ref="I75:I80" si="1">$I$28*H75</f>
        <v>89.547499999999999</v>
      </c>
      <c r="J75" s="48"/>
    </row>
    <row r="76" spans="1:11" x14ac:dyDescent="0.2">
      <c r="A76" s="129" t="s">
        <v>3</v>
      </c>
      <c r="B76" s="373" t="s">
        <v>187</v>
      </c>
      <c r="C76" s="373"/>
      <c r="D76" s="373"/>
      <c r="E76" s="373"/>
      <c r="F76" s="373"/>
      <c r="G76" s="373"/>
      <c r="H76" s="148">
        <v>2.8E-3</v>
      </c>
      <c r="I76" s="16">
        <f t="shared" si="1"/>
        <v>3.01</v>
      </c>
      <c r="J76" s="48"/>
    </row>
    <row r="77" spans="1:11" x14ac:dyDescent="0.2">
      <c r="A77" s="129" t="s">
        <v>5</v>
      </c>
      <c r="B77" s="373" t="s">
        <v>188</v>
      </c>
      <c r="C77" s="373"/>
      <c r="D77" s="373"/>
      <c r="E77" s="373"/>
      <c r="F77" s="373"/>
      <c r="G77" s="373"/>
      <c r="H77" s="17">
        <v>2.0000000000000001E-4</v>
      </c>
      <c r="I77" s="16">
        <f t="shared" si="1"/>
        <v>0.215</v>
      </c>
      <c r="J77" s="48"/>
    </row>
    <row r="78" spans="1:11" x14ac:dyDescent="0.2">
      <c r="A78" s="129" t="s">
        <v>7</v>
      </c>
      <c r="B78" s="373" t="s">
        <v>189</v>
      </c>
      <c r="C78" s="373"/>
      <c r="D78" s="373"/>
      <c r="E78" s="373"/>
      <c r="F78" s="373"/>
      <c r="G78" s="373"/>
      <c r="H78" s="148">
        <v>2.9999999999999997E-4</v>
      </c>
      <c r="I78" s="16">
        <f t="shared" si="1"/>
        <v>0.32249999999999995</v>
      </c>
      <c r="J78" s="48"/>
    </row>
    <row r="79" spans="1:11" x14ac:dyDescent="0.2">
      <c r="A79" s="129" t="s">
        <v>27</v>
      </c>
      <c r="B79" s="373" t="s">
        <v>190</v>
      </c>
      <c r="C79" s="373"/>
      <c r="D79" s="373"/>
      <c r="E79" s="373"/>
      <c r="F79" s="373"/>
      <c r="G79" s="373"/>
      <c r="H79" s="17">
        <v>6.9999999999999999E-4</v>
      </c>
      <c r="I79" s="16">
        <f t="shared" si="1"/>
        <v>0.75249999999999995</v>
      </c>
      <c r="J79" s="48"/>
    </row>
    <row r="80" spans="1:11" x14ac:dyDescent="0.2">
      <c r="A80" s="129"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93.847500000000011</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129" t="s">
        <v>21</v>
      </c>
      <c r="I83" s="129" t="s">
        <v>22</v>
      </c>
      <c r="J83" s="48"/>
    </row>
    <row r="84" spans="1:10" x14ac:dyDescent="0.2">
      <c r="A84" s="129"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129" t="s">
        <v>22</v>
      </c>
      <c r="J88" s="48"/>
    </row>
    <row r="89" spans="1:10" x14ac:dyDescent="0.2">
      <c r="A89" s="129" t="s">
        <v>77</v>
      </c>
      <c r="B89" s="370" t="s">
        <v>193</v>
      </c>
      <c r="C89" s="370"/>
      <c r="D89" s="370"/>
      <c r="E89" s="370"/>
      <c r="F89" s="370"/>
      <c r="G89" s="370"/>
      <c r="H89" s="370"/>
      <c r="I89" s="16">
        <f>I81</f>
        <v>93.847500000000011</v>
      </c>
      <c r="J89" s="48"/>
    </row>
    <row r="90" spans="1:10" x14ac:dyDescent="0.2">
      <c r="A90" s="129" t="s">
        <v>78</v>
      </c>
      <c r="B90" s="370" t="s">
        <v>194</v>
      </c>
      <c r="C90" s="370"/>
      <c r="D90" s="370"/>
      <c r="E90" s="370"/>
      <c r="F90" s="370"/>
      <c r="G90" s="370"/>
      <c r="H90" s="370"/>
      <c r="I90" s="16">
        <f>I85</f>
        <v>0</v>
      </c>
      <c r="J90" s="48"/>
    </row>
    <row r="91" spans="1:10" x14ac:dyDescent="0.2">
      <c r="A91" s="129" t="s">
        <v>46</v>
      </c>
      <c r="B91" s="370" t="s">
        <v>195</v>
      </c>
      <c r="C91" s="370"/>
      <c r="D91" s="370"/>
      <c r="E91" s="370"/>
      <c r="F91" s="370"/>
      <c r="G91" s="370"/>
      <c r="H91" s="370"/>
      <c r="I91" s="16">
        <f>(H81*H46)*I89</f>
        <v>2.9338727451750009</v>
      </c>
      <c r="J91" s="48"/>
    </row>
    <row r="92" spans="1:10" x14ac:dyDescent="0.2">
      <c r="A92" s="389" t="s">
        <v>79</v>
      </c>
      <c r="B92" s="389"/>
      <c r="C92" s="389"/>
      <c r="D92" s="389"/>
      <c r="E92" s="389"/>
      <c r="F92" s="389"/>
      <c r="G92" s="389"/>
      <c r="H92" s="389"/>
      <c r="I92" s="13">
        <f>(SUM(I89:I90))</f>
        <v>93.847500000000011</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129">
        <v>5</v>
      </c>
      <c r="B95" s="389" t="s">
        <v>81</v>
      </c>
      <c r="C95" s="389"/>
      <c r="D95" s="389"/>
      <c r="E95" s="389"/>
      <c r="F95" s="389"/>
      <c r="G95" s="389"/>
      <c r="H95" s="129"/>
      <c r="I95" s="129" t="s">
        <v>22</v>
      </c>
      <c r="J95" s="48"/>
    </row>
    <row r="96" spans="1:10" x14ac:dyDescent="0.2">
      <c r="A96" s="129" t="s">
        <v>1</v>
      </c>
      <c r="B96" s="393" t="s">
        <v>82</v>
      </c>
      <c r="C96" s="393"/>
      <c r="D96" s="393"/>
      <c r="E96" s="393"/>
      <c r="F96" s="393"/>
      <c r="G96" s="393"/>
      <c r="H96" s="128" t="s">
        <v>50</v>
      </c>
      <c r="I96" s="66">
        <f>UNIFORME!F10</f>
        <v>28.666666666666668</v>
      </c>
      <c r="J96" s="48"/>
    </row>
    <row r="97" spans="1:13" x14ac:dyDescent="0.2">
      <c r="A97" s="129" t="s">
        <v>3</v>
      </c>
      <c r="B97" s="393" t="s">
        <v>83</v>
      </c>
      <c r="C97" s="393"/>
      <c r="D97" s="393"/>
      <c r="E97" s="393"/>
      <c r="F97" s="393"/>
      <c r="G97" s="393"/>
      <c r="H97" s="128" t="s">
        <v>50</v>
      </c>
      <c r="I97" s="16">
        <f>MATERIAL!H104</f>
        <v>1296.4523297491039</v>
      </c>
      <c r="J97" s="48"/>
    </row>
    <row r="98" spans="1:13" x14ac:dyDescent="0.2">
      <c r="A98" s="21" t="s">
        <v>5</v>
      </c>
      <c r="B98" s="393" t="s">
        <v>84</v>
      </c>
      <c r="C98" s="393"/>
      <c r="D98" s="393"/>
      <c r="E98" s="393"/>
      <c r="F98" s="393"/>
      <c r="G98" s="393"/>
      <c r="H98" s="128" t="s">
        <v>50</v>
      </c>
      <c r="I98" s="16">
        <f>MATERIAL!I123</f>
        <v>30.513888888888889</v>
      </c>
      <c r="J98" s="48"/>
    </row>
    <row r="99" spans="1:13" x14ac:dyDescent="0.2">
      <c r="A99" s="21" t="s">
        <v>7</v>
      </c>
      <c r="B99" s="393" t="s">
        <v>435</v>
      </c>
      <c r="C99" s="393"/>
      <c r="D99" s="393"/>
      <c r="E99" s="393"/>
      <c r="F99" s="393"/>
      <c r="G99" s="393"/>
      <c r="H99" s="128" t="s">
        <v>50</v>
      </c>
      <c r="I99" s="16">
        <f>MATERIAL!H59</f>
        <v>20.76595744680851</v>
      </c>
      <c r="J99" s="48"/>
    </row>
    <row r="100" spans="1:13" x14ac:dyDescent="0.2">
      <c r="A100" s="389" t="s">
        <v>85</v>
      </c>
      <c r="B100" s="389"/>
      <c r="C100" s="389"/>
      <c r="D100" s="389"/>
      <c r="E100" s="389"/>
      <c r="F100" s="389"/>
      <c r="G100" s="389"/>
      <c r="H100" s="12" t="s">
        <v>50</v>
      </c>
      <c r="I100" s="13">
        <f>(SUM(I96:I99))</f>
        <v>1376.398842751468</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129">
        <v>6</v>
      </c>
      <c r="B103" s="389" t="s">
        <v>87</v>
      </c>
      <c r="C103" s="389"/>
      <c r="D103" s="389"/>
      <c r="E103" s="389"/>
      <c r="F103" s="389"/>
      <c r="G103" s="389"/>
      <c r="H103" s="129" t="s">
        <v>21</v>
      </c>
      <c r="I103" s="129" t="s">
        <v>22</v>
      </c>
      <c r="J103" s="48"/>
      <c r="K103" s="52">
        <f>'ANEXO VII'!M57</f>
        <v>197.15170301310718</v>
      </c>
    </row>
    <row r="104" spans="1:13" x14ac:dyDescent="0.2">
      <c r="A104" s="129" t="s">
        <v>1</v>
      </c>
      <c r="B104" s="373" t="s">
        <v>88</v>
      </c>
      <c r="C104" s="373"/>
      <c r="D104" s="373"/>
      <c r="E104" s="373"/>
      <c r="F104" s="373"/>
      <c r="G104" s="373"/>
      <c r="H104" s="22">
        <v>5.21E-2</v>
      </c>
      <c r="I104" s="16">
        <f>I120*H104</f>
        <v>187.48208426772646</v>
      </c>
      <c r="J104" s="48"/>
      <c r="M104" s="52"/>
    </row>
    <row r="105" spans="1:13" x14ac:dyDescent="0.2">
      <c r="A105" s="129" t="s">
        <v>3</v>
      </c>
      <c r="B105" s="373" t="s">
        <v>89</v>
      </c>
      <c r="C105" s="373"/>
      <c r="D105" s="373"/>
      <c r="E105" s="373"/>
      <c r="F105" s="373"/>
      <c r="G105" s="373"/>
      <c r="H105" s="22">
        <v>0.05</v>
      </c>
      <c r="I105" s="16">
        <f>(I120+I104)*H105</f>
        <v>189.29932903845972</v>
      </c>
      <c r="J105" s="48"/>
    </row>
    <row r="106" spans="1:13" x14ac:dyDescent="0.2">
      <c r="A106" s="129" t="s">
        <v>5</v>
      </c>
      <c r="B106" s="392" t="s">
        <v>90</v>
      </c>
      <c r="C106" s="392"/>
      <c r="D106" s="392"/>
      <c r="E106" s="392"/>
      <c r="F106" s="392"/>
      <c r="G106" s="392"/>
      <c r="H106" s="23">
        <f>H107+H108+H109</f>
        <v>8.6499999999999994E-2</v>
      </c>
      <c r="I106" s="24"/>
      <c r="J106" s="48"/>
    </row>
    <row r="107" spans="1:13" x14ac:dyDescent="0.2">
      <c r="A107" s="129" t="s">
        <v>91</v>
      </c>
      <c r="B107" s="373" t="s">
        <v>92</v>
      </c>
      <c r="C107" s="373"/>
      <c r="D107" s="373"/>
      <c r="E107" s="373"/>
      <c r="F107" s="373"/>
      <c r="G107" s="373"/>
      <c r="H107" s="25">
        <v>6.4999999999999997E-3</v>
      </c>
      <c r="I107" s="16">
        <f>K110*H107</f>
        <v>28.286106637930761</v>
      </c>
      <c r="J107" s="48"/>
      <c r="K107" s="65">
        <f>1-H106</f>
        <v>0.91349999999999998</v>
      </c>
    </row>
    <row r="108" spans="1:13" x14ac:dyDescent="0.2">
      <c r="A108" s="129" t="s">
        <v>93</v>
      </c>
      <c r="B108" s="373" t="s">
        <v>94</v>
      </c>
      <c r="C108" s="373"/>
      <c r="D108" s="373"/>
      <c r="E108" s="373"/>
      <c r="F108" s="373"/>
      <c r="G108" s="373"/>
      <c r="H108" s="25">
        <v>0.03</v>
      </c>
      <c r="I108" s="16">
        <f>K110*H108</f>
        <v>130.55126140583428</v>
      </c>
      <c r="J108" s="48"/>
      <c r="K108" s="45">
        <f>K107/1</f>
        <v>0.91349999999999998</v>
      </c>
    </row>
    <row r="109" spans="1:13" x14ac:dyDescent="0.2">
      <c r="A109" s="129" t="s">
        <v>95</v>
      </c>
      <c r="B109" s="373" t="s">
        <v>96</v>
      </c>
      <c r="C109" s="373"/>
      <c r="D109" s="373"/>
      <c r="E109" s="373"/>
      <c r="F109" s="373"/>
      <c r="G109" s="373"/>
      <c r="H109" s="26">
        <v>0.05</v>
      </c>
      <c r="I109" s="16">
        <f>K110*H109</f>
        <v>217.58543567639049</v>
      </c>
      <c r="J109" s="48"/>
      <c r="K109" s="20">
        <f>I120+I104+I105</f>
        <v>3975.2859098076538</v>
      </c>
    </row>
    <row r="110" spans="1:13" x14ac:dyDescent="0.2">
      <c r="A110" s="389" t="s">
        <v>97</v>
      </c>
      <c r="B110" s="389"/>
      <c r="C110" s="389"/>
      <c r="D110" s="389"/>
      <c r="E110" s="389"/>
      <c r="F110" s="389"/>
      <c r="G110" s="389"/>
      <c r="H110" s="25">
        <f>SUM(H104+H105+H106)</f>
        <v>0.18859999999999999</v>
      </c>
      <c r="I110" s="13">
        <f>(SUM(I104:I109))</f>
        <v>753.20421702634167</v>
      </c>
      <c r="J110" s="48"/>
      <c r="K110" s="20">
        <f>K109/K108</f>
        <v>4351.7087135278098</v>
      </c>
    </row>
    <row r="111" spans="1:13" x14ac:dyDescent="0.2">
      <c r="A111" s="131"/>
      <c r="B111" s="390"/>
      <c r="C111" s="390"/>
      <c r="D111" s="390"/>
      <c r="E111" s="390"/>
      <c r="F111" s="390"/>
      <c r="G111" s="390"/>
      <c r="H111" s="390"/>
      <c r="I111" s="390"/>
    </row>
    <row r="112" spans="1:13" x14ac:dyDescent="0.2">
      <c r="A112" s="131"/>
      <c r="B112" s="131"/>
      <c r="C112" s="131"/>
      <c r="D112" s="131"/>
      <c r="E112" s="131"/>
      <c r="F112" s="131"/>
      <c r="G112" s="131"/>
      <c r="H112" s="131"/>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129" t="s">
        <v>22</v>
      </c>
    </row>
    <row r="115" spans="1:12" x14ac:dyDescent="0.2">
      <c r="A115" s="128" t="s">
        <v>1</v>
      </c>
      <c r="B115" s="373" t="str">
        <f>A19</f>
        <v>MÓDULO 1 - COMPOSIÇÃO DA REMUNERAÇÃO</v>
      </c>
      <c r="C115" s="373"/>
      <c r="D115" s="373"/>
      <c r="E115" s="373"/>
      <c r="F115" s="373"/>
      <c r="G115" s="373"/>
      <c r="H115" s="373"/>
      <c r="I115" s="16">
        <f>I28</f>
        <v>1075</v>
      </c>
      <c r="K115" s="20"/>
      <c r="L115" s="53"/>
    </row>
    <row r="116" spans="1:12" x14ac:dyDescent="0.2">
      <c r="A116" s="128" t="s">
        <v>3</v>
      </c>
      <c r="B116" s="373" t="str">
        <f>A30</f>
        <v>MÓDULO 2 – ENCARGOS E BENEFÍCIOS ANUAIS, MENSAIS E DIÁRIOS</v>
      </c>
      <c r="C116" s="373"/>
      <c r="D116" s="373"/>
      <c r="E116" s="373"/>
      <c r="F116" s="373"/>
      <c r="G116" s="373"/>
      <c r="H116" s="373"/>
      <c r="I116" s="16">
        <f>I61</f>
        <v>985.65877824999995</v>
      </c>
    </row>
    <row r="117" spans="1:12" x14ac:dyDescent="0.2">
      <c r="A117" s="128" t="s">
        <v>5</v>
      </c>
      <c r="B117" s="373" t="str">
        <f>A63</f>
        <v>MÓDULO 3 – PROVISÃO PARA RESCISÃO</v>
      </c>
      <c r="C117" s="373"/>
      <c r="D117" s="373"/>
      <c r="E117" s="373"/>
      <c r="F117" s="373"/>
      <c r="G117" s="373"/>
      <c r="H117" s="373"/>
      <c r="I117" s="16">
        <f>I71</f>
        <v>67.599375500000008</v>
      </c>
    </row>
    <row r="118" spans="1:12" x14ac:dyDescent="0.2">
      <c r="A118" s="128" t="s">
        <v>7</v>
      </c>
      <c r="B118" s="373" t="str">
        <f>A73</f>
        <v>MÓDULO 4 – CUSTO DE REPOSIÇÃO DO PROFISSIONAL AUSENTE</v>
      </c>
      <c r="C118" s="373"/>
      <c r="D118" s="373"/>
      <c r="E118" s="373"/>
      <c r="F118" s="373"/>
      <c r="G118" s="373"/>
      <c r="H118" s="373"/>
      <c r="I118" s="16">
        <f>I92</f>
        <v>93.847500000000011</v>
      </c>
    </row>
    <row r="119" spans="1:12" x14ac:dyDescent="0.2">
      <c r="A119" s="128" t="s">
        <v>27</v>
      </c>
      <c r="B119" s="373" t="str">
        <f>A94</f>
        <v>MÓDULO 5 – INSUMOS DIVERSOS</v>
      </c>
      <c r="C119" s="373"/>
      <c r="D119" s="373"/>
      <c r="E119" s="373"/>
      <c r="F119" s="373"/>
      <c r="G119" s="373"/>
      <c r="H119" s="373"/>
      <c r="I119" s="16">
        <f>I100</f>
        <v>1376.398842751468</v>
      </c>
    </row>
    <row r="120" spans="1:12" x14ac:dyDescent="0.2">
      <c r="A120" s="129"/>
      <c r="B120" s="389" t="s">
        <v>100</v>
      </c>
      <c r="C120" s="389"/>
      <c r="D120" s="389"/>
      <c r="E120" s="389"/>
      <c r="F120" s="389"/>
      <c r="G120" s="389"/>
      <c r="H120" s="389"/>
      <c r="I120" s="13">
        <f>(SUM(I115:I119))</f>
        <v>3598.5044965014677</v>
      </c>
    </row>
    <row r="121" spans="1:12" x14ac:dyDescent="0.2">
      <c r="A121" s="128" t="s">
        <v>29</v>
      </c>
      <c r="B121" s="373" t="str">
        <f>A102</f>
        <v>MÓDULO 6 – CUSTOS INDIRETOS, TRIBUTOS E LUCRO</v>
      </c>
      <c r="C121" s="373"/>
      <c r="D121" s="373"/>
      <c r="E121" s="373"/>
      <c r="F121" s="373"/>
      <c r="G121" s="373"/>
      <c r="H121" s="373"/>
      <c r="I121" s="5">
        <f>I110</f>
        <v>753.20421702634167</v>
      </c>
    </row>
    <row r="122" spans="1:12" x14ac:dyDescent="0.2">
      <c r="A122" s="389" t="s">
        <v>101</v>
      </c>
      <c r="B122" s="389"/>
      <c r="C122" s="389"/>
      <c r="D122" s="389"/>
      <c r="E122" s="389"/>
      <c r="F122" s="389"/>
      <c r="G122" s="389"/>
      <c r="H122" s="389"/>
      <c r="I122" s="13">
        <f>(SUM(I120:I121))</f>
        <v>4351.7087135278089</v>
      </c>
      <c r="K122" s="51"/>
    </row>
    <row r="123" spans="1:12" x14ac:dyDescent="0.2">
      <c r="I123" s="20"/>
      <c r="K123" s="51"/>
    </row>
    <row r="124" spans="1:12" hidden="1" x14ac:dyDescent="0.2">
      <c r="A124" s="131"/>
      <c r="B124" s="379" t="s">
        <v>102</v>
      </c>
      <c r="C124" s="379"/>
      <c r="D124" s="379"/>
      <c r="E124" s="379"/>
      <c r="F124" s="379"/>
      <c r="G124" s="379"/>
      <c r="H124" s="8"/>
      <c r="I124" s="8"/>
      <c r="K124" s="51"/>
    </row>
    <row r="125" spans="1:12" ht="40.5" hidden="1" customHeight="1" x14ac:dyDescent="0.2">
      <c r="A125" s="385" t="s">
        <v>103</v>
      </c>
      <c r="B125" s="385"/>
      <c r="C125" s="385" t="s">
        <v>104</v>
      </c>
      <c r="D125" s="385"/>
      <c r="E125" s="385" t="s">
        <v>105</v>
      </c>
      <c r="F125" s="385"/>
      <c r="G125" s="28" t="s">
        <v>106</v>
      </c>
      <c r="H125" s="132" t="s">
        <v>107</v>
      </c>
      <c r="I125" s="134"/>
      <c r="K125" s="51"/>
    </row>
    <row r="126" spans="1:12" hidden="1" x14ac:dyDescent="0.2">
      <c r="A126" s="386" t="s">
        <v>108</v>
      </c>
      <c r="B126" s="386"/>
      <c r="C126" s="387" t="s">
        <v>109</v>
      </c>
      <c r="D126" s="387"/>
      <c r="E126" s="388"/>
      <c r="F126" s="388"/>
      <c r="G126" s="29" t="s">
        <v>109</v>
      </c>
      <c r="H126" s="30"/>
      <c r="I126" s="31"/>
      <c r="K126" s="51"/>
    </row>
    <row r="127" spans="1:12" hidden="1" x14ac:dyDescent="0.2">
      <c r="A127" s="381" t="s">
        <v>110</v>
      </c>
      <c r="B127" s="381"/>
      <c r="C127" s="382" t="s">
        <v>109</v>
      </c>
      <c r="D127" s="382"/>
      <c r="E127" s="383"/>
      <c r="F127" s="383"/>
      <c r="G127" s="32" t="s">
        <v>109</v>
      </c>
      <c r="H127" s="33"/>
      <c r="I127" s="34"/>
      <c r="K127" s="51"/>
    </row>
    <row r="128" spans="1:12" hidden="1" x14ac:dyDescent="0.2">
      <c r="A128" s="381" t="s">
        <v>111</v>
      </c>
      <c r="B128" s="381"/>
      <c r="C128" s="382" t="s">
        <v>109</v>
      </c>
      <c r="D128" s="382"/>
      <c r="E128" s="383"/>
      <c r="F128" s="383"/>
      <c r="G128" s="32" t="s">
        <v>109</v>
      </c>
      <c r="H128" s="33"/>
      <c r="I128" s="34"/>
      <c r="K128" s="51"/>
    </row>
    <row r="129" spans="1:11" hidden="1" x14ac:dyDescent="0.2">
      <c r="A129" s="381" t="s">
        <v>112</v>
      </c>
      <c r="B129" s="381"/>
      <c r="C129" s="382" t="s">
        <v>109</v>
      </c>
      <c r="D129" s="382"/>
      <c r="E129" s="383"/>
      <c r="F129" s="383"/>
      <c r="G129" s="32" t="s">
        <v>109</v>
      </c>
      <c r="H129" s="33"/>
      <c r="I129" s="34"/>
      <c r="K129" s="51"/>
    </row>
    <row r="130" spans="1:11" hidden="1" x14ac:dyDescent="0.2">
      <c r="A130" s="384"/>
      <c r="B130" s="384"/>
      <c r="C130" s="383"/>
      <c r="D130" s="383"/>
      <c r="E130" s="383"/>
      <c r="F130" s="383"/>
      <c r="G130" s="35"/>
      <c r="H130" s="36"/>
      <c r="I130" s="34"/>
      <c r="K130" s="51"/>
    </row>
    <row r="131" spans="1:11" ht="13.5" hidden="1" thickBot="1" x14ac:dyDescent="0.25">
      <c r="A131" s="376"/>
      <c r="B131" s="376"/>
      <c r="C131" s="377"/>
      <c r="D131" s="377"/>
      <c r="E131" s="377"/>
      <c r="F131" s="377"/>
      <c r="G131" s="37"/>
      <c r="H131" s="38"/>
      <c r="I131" s="39"/>
      <c r="K131" s="51"/>
    </row>
    <row r="132" spans="1:11" ht="13.5" hidden="1" thickBot="1" x14ac:dyDescent="0.25">
      <c r="A132" s="378" t="s">
        <v>113</v>
      </c>
      <c r="B132" s="378"/>
      <c r="C132" s="378"/>
      <c r="D132" s="378"/>
      <c r="E132" s="378"/>
      <c r="F132" s="378"/>
      <c r="G132" s="378"/>
      <c r="H132" s="378"/>
      <c r="I132" s="40"/>
      <c r="K132" s="51"/>
    </row>
    <row r="133" spans="1:11" x14ac:dyDescent="0.2">
      <c r="I133" s="20"/>
    </row>
    <row r="134" spans="1:11" hidden="1" x14ac:dyDescent="0.2">
      <c r="A134" s="131"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133"/>
      <c r="B136" s="371" t="s">
        <v>117</v>
      </c>
      <c r="C136" s="371"/>
      <c r="D136" s="371"/>
      <c r="E136" s="371"/>
      <c r="F136" s="371"/>
      <c r="G136" s="371"/>
      <c r="H136" s="371"/>
      <c r="I136" s="134" t="s">
        <v>22</v>
      </c>
    </row>
    <row r="137" spans="1:11" hidden="1" x14ac:dyDescent="0.2">
      <c r="A137" s="41" t="s">
        <v>1</v>
      </c>
      <c r="B137" s="372" t="s">
        <v>118</v>
      </c>
      <c r="C137" s="372"/>
      <c r="D137" s="372"/>
      <c r="E137" s="372"/>
      <c r="F137" s="372"/>
      <c r="G137" s="372"/>
      <c r="H137" s="372"/>
      <c r="I137" s="42">
        <f>I107</f>
        <v>28.286106637930761</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753.20421702634167</v>
      </c>
    </row>
    <row r="140" spans="1:11" ht="13.5" hidden="1" thickBot="1" x14ac:dyDescent="0.25">
      <c r="A140" s="375" t="s">
        <v>121</v>
      </c>
      <c r="B140" s="375"/>
      <c r="C140" s="375"/>
      <c r="D140" s="375"/>
      <c r="E140" s="375"/>
      <c r="F140" s="375"/>
      <c r="G140" s="375"/>
      <c r="H140" s="375"/>
      <c r="I140" s="40" t="e">
        <f>SUM(I137:I139)</f>
        <v>#REF!</v>
      </c>
    </row>
    <row r="141" spans="1:11" hidden="1" x14ac:dyDescent="0.2">
      <c r="A141" s="131" t="s">
        <v>122</v>
      </c>
      <c r="B141" s="45" t="s">
        <v>123</v>
      </c>
    </row>
    <row r="143" spans="1:11" ht="15.75" thickBot="1" x14ac:dyDescent="0.25">
      <c r="A143" s="195" t="s">
        <v>242</v>
      </c>
      <c r="B143" s="195"/>
      <c r="C143" s="195"/>
      <c r="D143" s="195"/>
      <c r="E143" s="195"/>
      <c r="F143" s="195"/>
      <c r="G143" s="195"/>
      <c r="H143" s="195"/>
    </row>
    <row r="144" spans="1:11" ht="15" x14ac:dyDescent="0.2">
      <c r="A144" s="419" t="s">
        <v>243</v>
      </c>
      <c r="B144" s="420"/>
      <c r="C144" s="421"/>
      <c r="D144" s="196" t="s">
        <v>244</v>
      </c>
      <c r="E144" s="419" t="s">
        <v>245</v>
      </c>
      <c r="F144" s="421"/>
      <c r="G144" s="419" t="s">
        <v>246</v>
      </c>
      <c r="H144" s="421"/>
    </row>
    <row r="145" spans="1:8" ht="15.75" thickBot="1" x14ac:dyDescent="0.25">
      <c r="A145" s="197"/>
      <c r="B145" s="198"/>
      <c r="C145" s="199"/>
      <c r="D145" s="200" t="s">
        <v>247</v>
      </c>
      <c r="E145" s="422" t="s">
        <v>248</v>
      </c>
      <c r="F145" s="423"/>
      <c r="G145" s="422" t="s">
        <v>249</v>
      </c>
      <c r="H145" s="423"/>
    </row>
    <row r="146" spans="1:8" ht="15.75" thickBot="1" x14ac:dyDescent="0.25">
      <c r="A146" s="201" t="s">
        <v>134</v>
      </c>
      <c r="B146" s="202"/>
      <c r="C146" s="202"/>
      <c r="D146" s="203">
        <f>1/(30*405)</f>
        <v>8.23045267489712E-5</v>
      </c>
      <c r="E146" s="424">
        <v>0</v>
      </c>
      <c r="F146" s="425"/>
      <c r="G146" s="426">
        <f>D146*E146</f>
        <v>0</v>
      </c>
      <c r="H146" s="427"/>
    </row>
    <row r="147" spans="1:8" ht="15.75" thickBot="1" x14ac:dyDescent="0.25">
      <c r="A147" s="204" t="s">
        <v>140</v>
      </c>
      <c r="B147" s="205"/>
      <c r="C147" s="205"/>
      <c r="D147" s="206">
        <f>1/405</f>
        <v>2.4691358024691358E-3</v>
      </c>
      <c r="E147" s="428">
        <f>I122</f>
        <v>4351.7087135278089</v>
      </c>
      <c r="F147" s="418"/>
      <c r="G147" s="426">
        <f>D147*E147</f>
        <v>10.744959786488417</v>
      </c>
      <c r="H147" s="427"/>
    </row>
    <row r="148" spans="1:8" ht="15.75" thickBot="1" x14ac:dyDescent="0.25">
      <c r="A148" s="417" t="s">
        <v>250</v>
      </c>
      <c r="B148" s="418"/>
      <c r="C148" s="418"/>
      <c r="D148" s="418"/>
      <c r="E148" s="418"/>
      <c r="F148" s="418"/>
      <c r="G148" s="204"/>
      <c r="H148" s="207">
        <f>SUM(G146:H147)</f>
        <v>10.744959786488417</v>
      </c>
    </row>
  </sheetData>
  <mergeCells count="181">
    <mergeCell ref="A148:F148"/>
    <mergeCell ref="E145:F145"/>
    <mergeCell ref="G145:H145"/>
    <mergeCell ref="E146:F146"/>
    <mergeCell ref="G146:H146"/>
    <mergeCell ref="E147:F147"/>
    <mergeCell ref="G147:H147"/>
    <mergeCell ref="B136:H136"/>
    <mergeCell ref="B137:H137"/>
    <mergeCell ref="B138:H138"/>
    <mergeCell ref="B139:H139"/>
    <mergeCell ref="A140:H140"/>
    <mergeCell ref="A144:C144"/>
    <mergeCell ref="E144:F144"/>
    <mergeCell ref="G144:H144"/>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B117:H117"/>
    <mergeCell ref="B118:H118"/>
    <mergeCell ref="B119:H119"/>
    <mergeCell ref="B120:H120"/>
    <mergeCell ref="B121:H121"/>
    <mergeCell ref="A122:H122"/>
    <mergeCell ref="A110:G110"/>
    <mergeCell ref="B111:I111"/>
    <mergeCell ref="A113:I113"/>
    <mergeCell ref="A114:H114"/>
    <mergeCell ref="B115:H115"/>
    <mergeCell ref="B116:H116"/>
    <mergeCell ref="B104:G104"/>
    <mergeCell ref="B105:G105"/>
    <mergeCell ref="B106:G106"/>
    <mergeCell ref="B107:G107"/>
    <mergeCell ref="B108:G108"/>
    <mergeCell ref="B109:G109"/>
    <mergeCell ref="B98:G98"/>
    <mergeCell ref="B99:G99"/>
    <mergeCell ref="A100:G100"/>
    <mergeCell ref="A101:I101"/>
    <mergeCell ref="A102:I102"/>
    <mergeCell ref="B103:G103"/>
    <mergeCell ref="A92:H92"/>
    <mergeCell ref="A93:I93"/>
    <mergeCell ref="A94:I94"/>
    <mergeCell ref="B95:G95"/>
    <mergeCell ref="B96:G96"/>
    <mergeCell ref="B97:G97"/>
    <mergeCell ref="A86:I86"/>
    <mergeCell ref="A87:I87"/>
    <mergeCell ref="A88:H88"/>
    <mergeCell ref="B89:H89"/>
    <mergeCell ref="B90:H90"/>
    <mergeCell ref="B91:H91"/>
    <mergeCell ref="B80:G80"/>
    <mergeCell ref="A81:G81"/>
    <mergeCell ref="A82:I82"/>
    <mergeCell ref="A83:G83"/>
    <mergeCell ref="B84:G84"/>
    <mergeCell ref="A85:G85"/>
    <mergeCell ref="A74:G74"/>
    <mergeCell ref="B75:G75"/>
    <mergeCell ref="B76:G76"/>
    <mergeCell ref="B77:G77"/>
    <mergeCell ref="B78:G78"/>
    <mergeCell ref="B79:G79"/>
    <mergeCell ref="B68:G68"/>
    <mergeCell ref="B69:G69"/>
    <mergeCell ref="B70:G70"/>
    <mergeCell ref="A71:G71"/>
    <mergeCell ref="A72:I72"/>
    <mergeCell ref="A73:I73"/>
    <mergeCell ref="A62:I62"/>
    <mergeCell ref="A63:I63"/>
    <mergeCell ref="B64:G64"/>
    <mergeCell ref="B65:G65"/>
    <mergeCell ref="B66:G66"/>
    <mergeCell ref="B67:G67"/>
    <mergeCell ref="B58:H58"/>
    <mergeCell ref="B59:H59"/>
    <mergeCell ref="B60:H60"/>
    <mergeCell ref="A61:H61"/>
    <mergeCell ref="B50:G50"/>
    <mergeCell ref="B51:G51"/>
    <mergeCell ref="B52:G52"/>
    <mergeCell ref="B53:G53"/>
    <mergeCell ref="A54:H54"/>
    <mergeCell ref="A55:I55"/>
    <mergeCell ref="A46:G46"/>
    <mergeCell ref="A47:I47"/>
    <mergeCell ref="A48:G48"/>
    <mergeCell ref="B49:G49"/>
    <mergeCell ref="A35:G35"/>
    <mergeCell ref="A36:I36"/>
    <mergeCell ref="A37:G37"/>
    <mergeCell ref="A56:I56"/>
    <mergeCell ref="A57:H57"/>
    <mergeCell ref="K37:K45"/>
    <mergeCell ref="B38:G38"/>
    <mergeCell ref="B39:G39"/>
    <mergeCell ref="B40:G40"/>
    <mergeCell ref="B41:G41"/>
    <mergeCell ref="B42:G42"/>
    <mergeCell ref="B43:G43"/>
    <mergeCell ref="A28:H28"/>
    <mergeCell ref="A30:I30"/>
    <mergeCell ref="A31:G31"/>
    <mergeCell ref="B32:G32"/>
    <mergeCell ref="B33:G33"/>
    <mergeCell ref="B34:G34"/>
    <mergeCell ref="B44:G44"/>
    <mergeCell ref="B45:G45"/>
    <mergeCell ref="B22:G22"/>
    <mergeCell ref="B23:G23"/>
    <mergeCell ref="B24:G24"/>
    <mergeCell ref="B25:G25"/>
    <mergeCell ref="B26:G26"/>
    <mergeCell ref="B27:G27"/>
    <mergeCell ref="B16:H16"/>
    <mergeCell ref="B17:H17"/>
    <mergeCell ref="A18:I18"/>
    <mergeCell ref="A19:I19"/>
    <mergeCell ref="B20:G20"/>
    <mergeCell ref="B21:G21"/>
    <mergeCell ref="A12:I12"/>
    <mergeCell ref="L12:Q12"/>
    <mergeCell ref="R12:S12"/>
    <mergeCell ref="B13:H13"/>
    <mergeCell ref="B14:H14"/>
    <mergeCell ref="B15:H15"/>
    <mergeCell ref="A10:B10"/>
    <mergeCell ref="C10:D10"/>
    <mergeCell ref="E10:I10"/>
    <mergeCell ref="L10:Q10"/>
    <mergeCell ref="R10:S10"/>
    <mergeCell ref="L11:Q11"/>
    <mergeCell ref="R11:S11"/>
    <mergeCell ref="B6:H6"/>
    <mergeCell ref="K6:S6"/>
    <mergeCell ref="K7:S7"/>
    <mergeCell ref="A8:I8"/>
    <mergeCell ref="K8:S8"/>
    <mergeCell ref="A9:B9"/>
    <mergeCell ref="C9:D9"/>
    <mergeCell ref="E9:I9"/>
    <mergeCell ref="L9:Q9"/>
    <mergeCell ref="R9:S9"/>
    <mergeCell ref="B4:H4"/>
    <mergeCell ref="L4:M4"/>
    <mergeCell ref="N4:Q4"/>
    <mergeCell ref="R4:S4"/>
    <mergeCell ref="B5:H5"/>
    <mergeCell ref="K5:S5"/>
    <mergeCell ref="A2:I2"/>
    <mergeCell ref="K2:S2"/>
    <mergeCell ref="B3:H3"/>
    <mergeCell ref="L3:M3"/>
    <mergeCell ref="N3:Q3"/>
    <mergeCell ref="R3:S3"/>
  </mergeCells>
  <pageMargins left="0.25" right="0.25" top="0.75" bottom="0.75" header="0.3" footer="0.3"/>
  <pageSetup paperSize="9" firstPageNumber="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A6CD7-E144-460C-B9D7-3D35C00B3E64}">
  <dimension ref="A2:S148"/>
  <sheetViews>
    <sheetView tabSelected="1" topLeftCell="A11" zoomScale="118" zoomScaleNormal="118" workbookViewId="0">
      <selection activeCell="I104" sqref="I104"/>
    </sheetView>
  </sheetViews>
  <sheetFormatPr defaultColWidth="9.140625" defaultRowHeight="12.75" x14ac:dyDescent="0.2"/>
  <cols>
    <col min="1" max="1" width="9.140625" style="45"/>
    <col min="2" max="2" width="13.85546875" style="45" customWidth="1"/>
    <col min="3" max="3" width="9.140625" style="45"/>
    <col min="4" max="4" width="24" style="45" bestFit="1" customWidth="1"/>
    <col min="5" max="5" width="9.140625" style="45"/>
    <col min="6" max="6" width="20.42578125" style="45" customWidth="1"/>
    <col min="7" max="7" width="9.140625" style="45"/>
    <col min="8" max="8" width="21.140625" style="45"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128" t="s">
        <v>1</v>
      </c>
      <c r="B3" s="373" t="s">
        <v>2</v>
      </c>
      <c r="C3" s="373"/>
      <c r="D3" s="373"/>
      <c r="E3" s="373"/>
      <c r="F3" s="373"/>
      <c r="G3" s="373"/>
      <c r="H3" s="373"/>
      <c r="I3" s="1">
        <v>44182</v>
      </c>
      <c r="K3" s="127"/>
      <c r="L3" s="410"/>
      <c r="M3" s="410"/>
      <c r="N3" s="410"/>
      <c r="O3" s="410"/>
      <c r="P3" s="410"/>
      <c r="Q3" s="410"/>
      <c r="R3" s="416"/>
      <c r="S3" s="416"/>
    </row>
    <row r="4" spans="1:19" x14ac:dyDescent="0.2">
      <c r="A4" s="128" t="s">
        <v>3</v>
      </c>
      <c r="B4" s="373" t="s">
        <v>4</v>
      </c>
      <c r="C4" s="373"/>
      <c r="D4" s="373"/>
      <c r="E4" s="373"/>
      <c r="F4" s="373"/>
      <c r="G4" s="373"/>
      <c r="H4" s="373"/>
      <c r="I4" s="128" t="s">
        <v>183</v>
      </c>
      <c r="K4" s="127"/>
      <c r="L4" s="407"/>
      <c r="M4" s="407"/>
      <c r="N4" s="410"/>
      <c r="O4" s="410"/>
      <c r="P4" s="410"/>
      <c r="Q4" s="410"/>
      <c r="R4" s="410"/>
      <c r="S4" s="410"/>
    </row>
    <row r="5" spans="1:19" x14ac:dyDescent="0.2">
      <c r="A5" s="128" t="s">
        <v>5</v>
      </c>
      <c r="B5" s="373" t="s">
        <v>6</v>
      </c>
      <c r="C5" s="373"/>
      <c r="D5" s="373"/>
      <c r="E5" s="373"/>
      <c r="F5" s="373"/>
      <c r="G5" s="373"/>
      <c r="H5" s="373"/>
      <c r="I5" s="128">
        <v>2020</v>
      </c>
      <c r="K5" s="414"/>
      <c r="L5" s="414"/>
      <c r="M5" s="414"/>
      <c r="N5" s="414"/>
      <c r="O5" s="414"/>
      <c r="P5" s="414"/>
      <c r="Q5" s="414"/>
      <c r="R5" s="414"/>
      <c r="S5" s="414"/>
    </row>
    <row r="6" spans="1:19" x14ac:dyDescent="0.2">
      <c r="A6" s="128" t="s">
        <v>7</v>
      </c>
      <c r="B6" s="373" t="s">
        <v>8</v>
      </c>
      <c r="C6" s="373"/>
      <c r="D6" s="373"/>
      <c r="E6" s="373"/>
      <c r="F6" s="373"/>
      <c r="G6" s="373"/>
      <c r="H6" s="373"/>
      <c r="I6" s="128">
        <v>12</v>
      </c>
      <c r="K6" s="414"/>
      <c r="L6" s="414"/>
      <c r="M6" s="414"/>
      <c r="N6" s="414"/>
      <c r="O6" s="414"/>
      <c r="P6" s="414"/>
      <c r="Q6" s="414"/>
      <c r="R6" s="414"/>
      <c r="S6" s="414"/>
    </row>
    <row r="7" spans="1:19" x14ac:dyDescent="0.2">
      <c r="A7" s="131"/>
      <c r="B7" s="130"/>
      <c r="C7" s="130"/>
      <c r="D7" s="130"/>
      <c r="E7" s="130"/>
      <c r="F7" s="130"/>
      <c r="G7" s="130"/>
      <c r="H7" s="131"/>
      <c r="I7" s="131"/>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127"/>
      <c r="L9" s="406"/>
      <c r="M9" s="406"/>
      <c r="N9" s="406"/>
      <c r="O9" s="406"/>
      <c r="P9" s="406"/>
      <c r="Q9" s="406"/>
      <c r="R9" s="410"/>
      <c r="S9" s="410"/>
    </row>
    <row r="10" spans="1:19" ht="27" customHeight="1" x14ac:dyDescent="0.2">
      <c r="A10" s="411" t="s">
        <v>129</v>
      </c>
      <c r="B10" s="411"/>
      <c r="C10" s="370"/>
      <c r="D10" s="370"/>
      <c r="E10" s="412">
        <v>1</v>
      </c>
      <c r="F10" s="412"/>
      <c r="G10" s="412"/>
      <c r="H10" s="412"/>
      <c r="I10" s="412"/>
      <c r="K10" s="126"/>
      <c r="L10" s="408"/>
      <c r="M10" s="408"/>
      <c r="N10" s="408"/>
      <c r="O10" s="408"/>
      <c r="P10" s="408"/>
      <c r="Q10" s="408"/>
      <c r="R10" s="413"/>
      <c r="S10" s="413"/>
    </row>
    <row r="11" spans="1:19" x14ac:dyDescent="0.2">
      <c r="A11" s="131"/>
      <c r="B11" s="130"/>
      <c r="C11" s="130"/>
      <c r="D11" s="130"/>
      <c r="E11" s="130"/>
      <c r="F11" s="130"/>
      <c r="G11" s="130"/>
      <c r="H11" s="131"/>
      <c r="I11" s="131"/>
      <c r="K11" s="127"/>
      <c r="L11" s="406"/>
      <c r="M11" s="406"/>
      <c r="N11" s="406"/>
      <c r="O11" s="406"/>
      <c r="P11" s="406"/>
      <c r="Q11" s="406"/>
      <c r="R11" s="407"/>
      <c r="S11" s="407"/>
    </row>
    <row r="12" spans="1:19" x14ac:dyDescent="0.2">
      <c r="A12" s="395" t="s">
        <v>13</v>
      </c>
      <c r="B12" s="395"/>
      <c r="C12" s="395"/>
      <c r="D12" s="395"/>
      <c r="E12" s="395"/>
      <c r="F12" s="395"/>
      <c r="G12" s="395"/>
      <c r="H12" s="395"/>
      <c r="I12" s="395"/>
      <c r="K12" s="126"/>
      <c r="L12" s="408"/>
      <c r="M12" s="408"/>
      <c r="N12" s="408"/>
      <c r="O12" s="408"/>
      <c r="P12" s="408"/>
      <c r="Q12" s="408"/>
      <c r="R12" s="409"/>
      <c r="S12" s="409"/>
    </row>
    <row r="13" spans="1:19" x14ac:dyDescent="0.2">
      <c r="A13" s="128">
        <v>1</v>
      </c>
      <c r="B13" s="373" t="s">
        <v>14</v>
      </c>
      <c r="C13" s="373"/>
      <c r="D13" s="373"/>
      <c r="E13" s="373"/>
      <c r="F13" s="373"/>
      <c r="G13" s="373"/>
      <c r="H13" s="373"/>
      <c r="I13" s="50" t="s">
        <v>184</v>
      </c>
      <c r="K13" s="2"/>
      <c r="L13" s="2"/>
      <c r="M13" s="2"/>
      <c r="N13" s="2"/>
      <c r="O13" s="2"/>
      <c r="P13" s="2"/>
      <c r="Q13" s="2"/>
      <c r="R13" s="2"/>
      <c r="S13" s="2"/>
    </row>
    <row r="14" spans="1:19" x14ac:dyDescent="0.2">
      <c r="A14" s="128">
        <v>2</v>
      </c>
      <c r="B14" s="373" t="s">
        <v>15</v>
      </c>
      <c r="C14" s="373"/>
      <c r="D14" s="373"/>
      <c r="E14" s="373"/>
      <c r="F14" s="373"/>
      <c r="G14" s="373"/>
      <c r="H14" s="373"/>
      <c r="I14" s="128"/>
    </row>
    <row r="15" spans="1:19" x14ac:dyDescent="0.2">
      <c r="A15" s="128">
        <v>3</v>
      </c>
      <c r="B15" s="373" t="s">
        <v>16</v>
      </c>
      <c r="C15" s="373"/>
      <c r="D15" s="373"/>
      <c r="E15" s="373"/>
      <c r="F15" s="373"/>
      <c r="G15" s="373"/>
      <c r="H15" s="373"/>
      <c r="I15" s="3">
        <v>1075</v>
      </c>
    </row>
    <row r="16" spans="1:19" x14ac:dyDescent="0.2">
      <c r="A16" s="128">
        <v>4</v>
      </c>
      <c r="B16" s="373" t="s">
        <v>17</v>
      </c>
      <c r="C16" s="373"/>
      <c r="D16" s="373"/>
      <c r="E16" s="373"/>
      <c r="F16" s="373"/>
      <c r="G16" s="373"/>
      <c r="H16" s="373"/>
      <c r="I16" s="1" t="str">
        <f>A10</f>
        <v>ASG</v>
      </c>
    </row>
    <row r="17" spans="1:12" x14ac:dyDescent="0.2">
      <c r="A17" s="128">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129">
        <v>1</v>
      </c>
      <c r="B20" s="389" t="s">
        <v>20</v>
      </c>
      <c r="C20" s="389"/>
      <c r="D20" s="389"/>
      <c r="E20" s="389"/>
      <c r="F20" s="389"/>
      <c r="G20" s="389"/>
      <c r="H20" s="129" t="s">
        <v>21</v>
      </c>
      <c r="I20" s="129" t="s">
        <v>22</v>
      </c>
    </row>
    <row r="21" spans="1:12" x14ac:dyDescent="0.2">
      <c r="A21" s="129" t="s">
        <v>1</v>
      </c>
      <c r="B21" s="373" t="s">
        <v>23</v>
      </c>
      <c r="C21" s="373"/>
      <c r="D21" s="373"/>
      <c r="E21" s="373"/>
      <c r="F21" s="373"/>
      <c r="G21" s="373"/>
      <c r="H21" s="4"/>
      <c r="I21" s="5">
        <f>I15</f>
        <v>1075</v>
      </c>
      <c r="L21" s="20">
        <f>I35+I46+I71+I81</f>
        <v>708.60565374999999</v>
      </c>
    </row>
    <row r="22" spans="1:12" x14ac:dyDescent="0.2">
      <c r="A22" s="129" t="s">
        <v>3</v>
      </c>
      <c r="B22" s="373" t="s">
        <v>24</v>
      </c>
      <c r="C22" s="373"/>
      <c r="D22" s="373"/>
      <c r="E22" s="373"/>
      <c r="F22" s="373"/>
      <c r="G22" s="373"/>
      <c r="H22" s="6"/>
      <c r="I22" s="5">
        <v>0</v>
      </c>
      <c r="L22" s="53">
        <f>L21/I28</f>
        <v>0.65916805000000001</v>
      </c>
    </row>
    <row r="23" spans="1:12" x14ac:dyDescent="0.2">
      <c r="A23" s="129" t="s">
        <v>5</v>
      </c>
      <c r="B23" s="373" t="s">
        <v>25</v>
      </c>
      <c r="C23" s="373"/>
      <c r="D23" s="373"/>
      <c r="E23" s="373"/>
      <c r="F23" s="373"/>
      <c r="G23" s="373"/>
      <c r="H23" s="6">
        <v>0</v>
      </c>
      <c r="I23" s="5">
        <f>I21*H23</f>
        <v>0</v>
      </c>
    </row>
    <row r="24" spans="1:12" x14ac:dyDescent="0.2">
      <c r="A24" s="129" t="s">
        <v>7</v>
      </c>
      <c r="B24" s="373" t="s">
        <v>26</v>
      </c>
      <c r="C24" s="373"/>
      <c r="D24" s="373"/>
      <c r="E24" s="373"/>
      <c r="F24" s="373"/>
      <c r="G24" s="373"/>
      <c r="H24" s="6"/>
      <c r="I24" s="5">
        <v>0</v>
      </c>
    </row>
    <row r="25" spans="1:12" x14ac:dyDescent="0.2">
      <c r="A25" s="129" t="s">
        <v>27</v>
      </c>
      <c r="B25" s="373" t="s">
        <v>28</v>
      </c>
      <c r="C25" s="373"/>
      <c r="D25" s="373"/>
      <c r="E25" s="373"/>
      <c r="F25" s="373"/>
      <c r="G25" s="373"/>
      <c r="H25" s="6"/>
      <c r="I25" s="5">
        <v>0</v>
      </c>
    </row>
    <row r="26" spans="1:12" x14ac:dyDescent="0.2">
      <c r="A26" s="129" t="s">
        <v>29</v>
      </c>
      <c r="B26" s="373" t="s">
        <v>30</v>
      </c>
      <c r="C26" s="373"/>
      <c r="D26" s="373"/>
      <c r="E26" s="373"/>
      <c r="F26" s="373"/>
      <c r="G26" s="373"/>
      <c r="H26" s="6"/>
      <c r="I26" s="5">
        <v>0</v>
      </c>
    </row>
    <row r="27" spans="1:12" x14ac:dyDescent="0.2">
      <c r="A27" s="129"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1075</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129" t="s">
        <v>21</v>
      </c>
      <c r="I31" s="129" t="s">
        <v>22</v>
      </c>
      <c r="J31" s="48"/>
    </row>
    <row r="32" spans="1:12" x14ac:dyDescent="0.2">
      <c r="A32" s="129" t="s">
        <v>1</v>
      </c>
      <c r="B32" s="373" t="s">
        <v>36</v>
      </c>
      <c r="C32" s="373"/>
      <c r="D32" s="373"/>
      <c r="E32" s="373"/>
      <c r="F32" s="373"/>
      <c r="G32" s="373"/>
      <c r="H32" s="10">
        <v>8.3299999999999999E-2</v>
      </c>
      <c r="I32" s="5">
        <f>$I$28*H32</f>
        <v>89.547499999999999</v>
      </c>
      <c r="J32" s="48"/>
    </row>
    <row r="33" spans="1:11" x14ac:dyDescent="0.2">
      <c r="A33" s="129" t="s">
        <v>3</v>
      </c>
      <c r="B33" s="373" t="s">
        <v>185</v>
      </c>
      <c r="C33" s="373"/>
      <c r="D33" s="373"/>
      <c r="E33" s="373"/>
      <c r="F33" s="373"/>
      <c r="G33" s="373"/>
      <c r="H33" s="11">
        <v>2.7799999999999998E-2</v>
      </c>
      <c r="I33" s="5">
        <f>H33*I28</f>
        <v>29.884999999999998</v>
      </c>
      <c r="J33" s="48"/>
    </row>
    <row r="34" spans="1:11" x14ac:dyDescent="0.2">
      <c r="A34" s="129" t="s">
        <v>132</v>
      </c>
      <c r="B34" s="373" t="s">
        <v>133</v>
      </c>
      <c r="C34" s="373"/>
      <c r="D34" s="373"/>
      <c r="E34" s="373"/>
      <c r="F34" s="373"/>
      <c r="G34" s="373"/>
      <c r="H34" s="11">
        <f>(H32+H33)*H46</f>
        <v>3.9784910000000007E-2</v>
      </c>
      <c r="I34" s="5">
        <f>I28*H34</f>
        <v>42.768778250000004</v>
      </c>
      <c r="J34" s="48"/>
    </row>
    <row r="35" spans="1:11" x14ac:dyDescent="0.2">
      <c r="A35" s="389" t="s">
        <v>37</v>
      </c>
      <c r="B35" s="389"/>
      <c r="C35" s="389"/>
      <c r="D35" s="389"/>
      <c r="E35" s="389"/>
      <c r="F35" s="389"/>
      <c r="G35" s="389"/>
      <c r="H35" s="12">
        <f>TRUNC(SUM(H32:H33),4)</f>
        <v>0.1111</v>
      </c>
      <c r="I35" s="13">
        <f>SUM(I32:I34)</f>
        <v>162.20127825</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129" t="s">
        <v>21</v>
      </c>
      <c r="I37" s="129" t="s">
        <v>22</v>
      </c>
      <c r="J37" s="48"/>
      <c r="K37" s="404"/>
    </row>
    <row r="38" spans="1:11" x14ac:dyDescent="0.2">
      <c r="A38" s="129" t="s">
        <v>1</v>
      </c>
      <c r="B38" s="373" t="s">
        <v>39</v>
      </c>
      <c r="C38" s="373"/>
      <c r="D38" s="373"/>
      <c r="E38" s="373"/>
      <c r="F38" s="373"/>
      <c r="G38" s="373"/>
      <c r="H38" s="10">
        <v>0.2</v>
      </c>
      <c r="I38" s="5">
        <f>($I$28)*H38</f>
        <v>215</v>
      </c>
      <c r="J38" s="48"/>
      <c r="K38" s="404"/>
    </row>
    <row r="39" spans="1:11" x14ac:dyDescent="0.2">
      <c r="A39" s="129" t="s">
        <v>3</v>
      </c>
      <c r="B39" s="373" t="s">
        <v>40</v>
      </c>
      <c r="C39" s="373"/>
      <c r="D39" s="373"/>
      <c r="E39" s="373"/>
      <c r="F39" s="373"/>
      <c r="G39" s="373"/>
      <c r="H39" s="10">
        <v>2.5000000000000001E-2</v>
      </c>
      <c r="I39" s="5">
        <f t="shared" ref="I39:I45" si="0">($I$28)*H39</f>
        <v>26.875</v>
      </c>
      <c r="J39" s="48"/>
      <c r="K39" s="404"/>
    </row>
    <row r="40" spans="1:11" x14ac:dyDescent="0.2">
      <c r="A40" s="129" t="s">
        <v>5</v>
      </c>
      <c r="B40" s="373" t="s">
        <v>41</v>
      </c>
      <c r="C40" s="373"/>
      <c r="D40" s="373"/>
      <c r="E40" s="373"/>
      <c r="F40" s="373"/>
      <c r="G40" s="373"/>
      <c r="H40" s="10">
        <v>2.01E-2</v>
      </c>
      <c r="I40" s="5">
        <f t="shared" si="0"/>
        <v>21.607499999999998</v>
      </c>
      <c r="J40" s="48"/>
      <c r="K40" s="404"/>
    </row>
    <row r="41" spans="1:11" x14ac:dyDescent="0.2">
      <c r="A41" s="129" t="s">
        <v>7</v>
      </c>
      <c r="B41" s="373" t="s">
        <v>42</v>
      </c>
      <c r="C41" s="373"/>
      <c r="D41" s="373"/>
      <c r="E41" s="373"/>
      <c r="F41" s="373"/>
      <c r="G41" s="373"/>
      <c r="H41" s="10">
        <v>1.4999999999999999E-2</v>
      </c>
      <c r="I41" s="5">
        <f t="shared" si="0"/>
        <v>16.125</v>
      </c>
      <c r="J41" s="48"/>
      <c r="K41" s="404"/>
    </row>
    <row r="42" spans="1:11" x14ac:dyDescent="0.2">
      <c r="A42" s="129" t="s">
        <v>27</v>
      </c>
      <c r="B42" s="373" t="s">
        <v>43</v>
      </c>
      <c r="C42" s="373"/>
      <c r="D42" s="373"/>
      <c r="E42" s="373"/>
      <c r="F42" s="373"/>
      <c r="G42" s="373"/>
      <c r="H42" s="10">
        <v>0.01</v>
      </c>
      <c r="I42" s="5">
        <f t="shared" si="0"/>
        <v>10.75</v>
      </c>
      <c r="J42" s="48"/>
      <c r="K42" s="404"/>
    </row>
    <row r="43" spans="1:11" x14ac:dyDescent="0.2">
      <c r="A43" s="129" t="s">
        <v>29</v>
      </c>
      <c r="B43" s="373" t="s">
        <v>44</v>
      </c>
      <c r="C43" s="373"/>
      <c r="D43" s="373"/>
      <c r="E43" s="373"/>
      <c r="F43" s="373"/>
      <c r="G43" s="373"/>
      <c r="H43" s="10">
        <v>6.0000000000000001E-3</v>
      </c>
      <c r="I43" s="5">
        <f t="shared" si="0"/>
        <v>6.45</v>
      </c>
      <c r="J43" s="48"/>
      <c r="K43" s="404"/>
    </row>
    <row r="44" spans="1:11" x14ac:dyDescent="0.2">
      <c r="A44" s="129" t="s">
        <v>31</v>
      </c>
      <c r="B44" s="373" t="s">
        <v>45</v>
      </c>
      <c r="C44" s="373"/>
      <c r="D44" s="373"/>
      <c r="E44" s="373"/>
      <c r="F44" s="373"/>
      <c r="G44" s="373"/>
      <c r="H44" s="10">
        <v>2E-3</v>
      </c>
      <c r="I44" s="5">
        <f t="shared" si="0"/>
        <v>2.15</v>
      </c>
      <c r="J44" s="48"/>
      <c r="K44" s="404"/>
    </row>
    <row r="45" spans="1:11" x14ac:dyDescent="0.2">
      <c r="A45" s="129" t="s">
        <v>46</v>
      </c>
      <c r="B45" s="373" t="s">
        <v>47</v>
      </c>
      <c r="C45" s="373"/>
      <c r="D45" s="373"/>
      <c r="E45" s="373"/>
      <c r="F45" s="373"/>
      <c r="G45" s="373"/>
      <c r="H45" s="10">
        <v>0.08</v>
      </c>
      <c r="I45" s="5">
        <f t="shared" si="0"/>
        <v>86</v>
      </c>
      <c r="J45" s="48"/>
      <c r="K45" s="404"/>
    </row>
    <row r="46" spans="1:11" x14ac:dyDescent="0.2">
      <c r="A46" s="389" t="s">
        <v>48</v>
      </c>
      <c r="B46" s="389"/>
      <c r="C46" s="389"/>
      <c r="D46" s="389"/>
      <c r="E46" s="389"/>
      <c r="F46" s="389"/>
      <c r="G46" s="389"/>
      <c r="H46" s="12">
        <f>SUM(H38:H45)</f>
        <v>0.35810000000000003</v>
      </c>
      <c r="I46" s="13">
        <f>(SUM(I38:I45))</f>
        <v>384.95749999999998</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129" t="s">
        <v>22</v>
      </c>
      <c r="J48" s="48"/>
    </row>
    <row r="49" spans="1:10" x14ac:dyDescent="0.2">
      <c r="A49" s="129" t="s">
        <v>1</v>
      </c>
      <c r="B49" s="393" t="s">
        <v>125</v>
      </c>
      <c r="C49" s="393"/>
      <c r="D49" s="393"/>
      <c r="E49" s="393"/>
      <c r="F49" s="393"/>
      <c r="G49" s="393"/>
      <c r="H49" s="55">
        <v>3.65</v>
      </c>
      <c r="I49" s="14">
        <f>(H49*2*22)-(I21*0.06)</f>
        <v>96.1</v>
      </c>
      <c r="J49" s="48"/>
    </row>
    <row r="50" spans="1:10" x14ac:dyDescent="0.2">
      <c r="A50" s="129" t="s">
        <v>3</v>
      </c>
      <c r="B50" s="393" t="s">
        <v>124</v>
      </c>
      <c r="C50" s="393"/>
      <c r="D50" s="393"/>
      <c r="E50" s="393"/>
      <c r="F50" s="393"/>
      <c r="G50" s="393"/>
      <c r="H50" s="55">
        <v>418</v>
      </c>
      <c r="I50" s="15">
        <f>H50*0.8</f>
        <v>334.40000000000003</v>
      </c>
      <c r="J50" s="49"/>
    </row>
    <row r="51" spans="1:10" x14ac:dyDescent="0.2">
      <c r="A51" s="129" t="s">
        <v>5</v>
      </c>
      <c r="B51" s="393" t="s">
        <v>126</v>
      </c>
      <c r="C51" s="393"/>
      <c r="D51" s="393"/>
      <c r="E51" s="393"/>
      <c r="F51" s="393"/>
      <c r="G51" s="393"/>
      <c r="H51" s="55">
        <v>0</v>
      </c>
      <c r="I51" s="14">
        <f>H51</f>
        <v>0</v>
      </c>
      <c r="J51" s="48"/>
    </row>
    <row r="52" spans="1:10" x14ac:dyDescent="0.2">
      <c r="A52" s="129" t="s">
        <v>7</v>
      </c>
      <c r="B52" s="397" t="s">
        <v>127</v>
      </c>
      <c r="C52" s="398"/>
      <c r="D52" s="398"/>
      <c r="E52" s="398"/>
      <c r="F52" s="398"/>
      <c r="G52" s="399"/>
      <c r="H52" s="55">
        <v>0</v>
      </c>
      <c r="I52" s="14">
        <f>H52</f>
        <v>0</v>
      </c>
      <c r="J52" s="48"/>
    </row>
    <row r="53" spans="1:10" x14ac:dyDescent="0.2">
      <c r="A53" s="129"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438.5</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129" t="s">
        <v>22</v>
      </c>
      <c r="J57" s="48"/>
    </row>
    <row r="58" spans="1:10" x14ac:dyDescent="0.2">
      <c r="A58" s="129" t="s">
        <v>54</v>
      </c>
      <c r="B58" s="370" t="s">
        <v>55</v>
      </c>
      <c r="C58" s="370"/>
      <c r="D58" s="370"/>
      <c r="E58" s="370"/>
      <c r="F58" s="370"/>
      <c r="G58" s="370"/>
      <c r="H58" s="370"/>
      <c r="I58" s="16">
        <f>I35</f>
        <v>162.20127825</v>
      </c>
      <c r="J58" s="48"/>
    </row>
    <row r="59" spans="1:10" x14ac:dyDescent="0.2">
      <c r="A59" s="129" t="s">
        <v>56</v>
      </c>
      <c r="B59" s="370" t="s">
        <v>57</v>
      </c>
      <c r="C59" s="370"/>
      <c r="D59" s="370"/>
      <c r="E59" s="370"/>
      <c r="F59" s="370"/>
      <c r="G59" s="370"/>
      <c r="H59" s="370"/>
      <c r="I59" s="16">
        <f>I46</f>
        <v>384.95749999999998</v>
      </c>
      <c r="J59" s="48"/>
    </row>
    <row r="60" spans="1:10" x14ac:dyDescent="0.2">
      <c r="A60" s="129" t="s">
        <v>58</v>
      </c>
      <c r="B60" s="370" t="s">
        <v>59</v>
      </c>
      <c r="C60" s="370"/>
      <c r="D60" s="370"/>
      <c r="E60" s="370"/>
      <c r="F60" s="370"/>
      <c r="G60" s="370"/>
      <c r="H60" s="370"/>
      <c r="I60" s="16">
        <f>I54</f>
        <v>438.5</v>
      </c>
      <c r="J60" s="48"/>
    </row>
    <row r="61" spans="1:10" x14ac:dyDescent="0.2">
      <c r="A61" s="389" t="s">
        <v>60</v>
      </c>
      <c r="B61" s="389"/>
      <c r="C61" s="389"/>
      <c r="D61" s="389"/>
      <c r="E61" s="389"/>
      <c r="F61" s="389"/>
      <c r="G61" s="389"/>
      <c r="H61" s="389"/>
      <c r="I61" s="13">
        <f>(SUM(I58:I60))</f>
        <v>985.65877824999995</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129">
        <v>3</v>
      </c>
      <c r="B64" s="389" t="s">
        <v>62</v>
      </c>
      <c r="C64" s="389"/>
      <c r="D64" s="389"/>
      <c r="E64" s="389"/>
      <c r="F64" s="389"/>
      <c r="G64" s="389"/>
      <c r="H64" s="129" t="s">
        <v>21</v>
      </c>
      <c r="I64" s="129" t="s">
        <v>22</v>
      </c>
      <c r="J64" s="48"/>
    </row>
    <row r="65" spans="1:11" x14ac:dyDescent="0.2">
      <c r="A65" s="129" t="s">
        <v>1</v>
      </c>
      <c r="B65" s="373" t="s">
        <v>63</v>
      </c>
      <c r="C65" s="373"/>
      <c r="D65" s="373"/>
      <c r="E65" s="373"/>
      <c r="F65" s="373"/>
      <c r="G65" s="373"/>
      <c r="H65" s="17">
        <v>4.1999999999999997E-3</v>
      </c>
      <c r="I65" s="16">
        <f>$I$28*H65</f>
        <v>4.5149999999999997</v>
      </c>
      <c r="J65" s="48"/>
    </row>
    <row r="66" spans="1:11" x14ac:dyDescent="0.2">
      <c r="A66" s="129" t="s">
        <v>3</v>
      </c>
      <c r="B66" s="373" t="s">
        <v>64</v>
      </c>
      <c r="C66" s="373"/>
      <c r="D66" s="373"/>
      <c r="E66" s="373"/>
      <c r="F66" s="373"/>
      <c r="G66" s="373"/>
      <c r="H66" s="17">
        <f>H45*H65</f>
        <v>3.3599999999999998E-4</v>
      </c>
      <c r="I66" s="5">
        <f>H66*I28</f>
        <v>0.36119999999999997</v>
      </c>
      <c r="J66" s="48"/>
    </row>
    <row r="67" spans="1:11" x14ac:dyDescent="0.2">
      <c r="A67" s="129" t="s">
        <v>5</v>
      </c>
      <c r="B67" s="373" t="s">
        <v>65</v>
      </c>
      <c r="C67" s="373"/>
      <c r="D67" s="373"/>
      <c r="E67" s="373"/>
      <c r="F67" s="373"/>
      <c r="G67" s="373"/>
      <c r="H67" s="18">
        <v>0.01</v>
      </c>
      <c r="I67" s="5">
        <f>$I$28*H67</f>
        <v>10.75</v>
      </c>
      <c r="J67" s="48"/>
    </row>
    <row r="68" spans="1:11" x14ac:dyDescent="0.2">
      <c r="A68" s="129" t="s">
        <v>7</v>
      </c>
      <c r="B68" s="373" t="s">
        <v>66</v>
      </c>
      <c r="C68" s="373"/>
      <c r="D68" s="373"/>
      <c r="E68" s="373"/>
      <c r="F68" s="373"/>
      <c r="G68" s="373"/>
      <c r="H68" s="46">
        <v>1.9400000000000001E-2</v>
      </c>
      <c r="I68" s="5">
        <f>$I$28*H68</f>
        <v>20.855</v>
      </c>
      <c r="J68" s="48"/>
    </row>
    <row r="69" spans="1:11" x14ac:dyDescent="0.2">
      <c r="A69" s="129" t="s">
        <v>27</v>
      </c>
      <c r="B69" s="373" t="s">
        <v>67</v>
      </c>
      <c r="C69" s="373"/>
      <c r="D69" s="373"/>
      <c r="E69" s="373"/>
      <c r="F69" s="373"/>
      <c r="G69" s="373"/>
      <c r="H69" s="19">
        <f>H46*H68</f>
        <v>6.947140000000001E-3</v>
      </c>
      <c r="I69" s="5">
        <f>$I$28*H69</f>
        <v>7.468175500000001</v>
      </c>
      <c r="J69" s="48"/>
    </row>
    <row r="70" spans="1:11" x14ac:dyDescent="0.2">
      <c r="A70" s="129" t="s">
        <v>29</v>
      </c>
      <c r="B70" s="373" t="s">
        <v>68</v>
      </c>
      <c r="C70" s="373"/>
      <c r="D70" s="373"/>
      <c r="E70" s="373"/>
      <c r="F70" s="373"/>
      <c r="G70" s="373"/>
      <c r="H70" s="54">
        <v>2.1999999999999999E-2</v>
      </c>
      <c r="I70" s="5">
        <f>$I$28*H70</f>
        <v>23.65</v>
      </c>
      <c r="J70" s="48"/>
      <c r="K70" s="20"/>
    </row>
    <row r="71" spans="1:11" x14ac:dyDescent="0.2">
      <c r="A71" s="389" t="s">
        <v>69</v>
      </c>
      <c r="B71" s="389"/>
      <c r="C71" s="389"/>
      <c r="D71" s="389"/>
      <c r="E71" s="389"/>
      <c r="F71" s="389"/>
      <c r="G71" s="389"/>
      <c r="H71" s="12">
        <f>TRUNC(SUM(H65:H70),4)</f>
        <v>6.2799999999999995E-2</v>
      </c>
      <c r="I71" s="13">
        <f>(SUM(I65:I70))</f>
        <v>67.599375500000008</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129" t="s">
        <v>21</v>
      </c>
      <c r="I74" s="129" t="s">
        <v>22</v>
      </c>
      <c r="J74" s="48"/>
    </row>
    <row r="75" spans="1:11" x14ac:dyDescent="0.2">
      <c r="A75" s="129" t="s">
        <v>1</v>
      </c>
      <c r="B75" s="373" t="s">
        <v>186</v>
      </c>
      <c r="C75" s="373"/>
      <c r="D75" s="373"/>
      <c r="E75" s="373"/>
      <c r="F75" s="373"/>
      <c r="G75" s="373"/>
      <c r="H75" s="148">
        <v>8.3299999999999999E-2</v>
      </c>
      <c r="I75" s="5">
        <f t="shared" ref="I75:I80" si="1">$I$28*H75</f>
        <v>89.547499999999999</v>
      </c>
      <c r="J75" s="48"/>
    </row>
    <row r="76" spans="1:11" x14ac:dyDescent="0.2">
      <c r="A76" s="129" t="s">
        <v>3</v>
      </c>
      <c r="B76" s="373" t="s">
        <v>187</v>
      </c>
      <c r="C76" s="373"/>
      <c r="D76" s="373"/>
      <c r="E76" s="373"/>
      <c r="F76" s="373"/>
      <c r="G76" s="373"/>
      <c r="H76" s="148">
        <v>2.8E-3</v>
      </c>
      <c r="I76" s="16">
        <f t="shared" si="1"/>
        <v>3.01</v>
      </c>
      <c r="J76" s="48"/>
    </row>
    <row r="77" spans="1:11" x14ac:dyDescent="0.2">
      <c r="A77" s="129" t="s">
        <v>5</v>
      </c>
      <c r="B77" s="373" t="s">
        <v>188</v>
      </c>
      <c r="C77" s="373"/>
      <c r="D77" s="373"/>
      <c r="E77" s="373"/>
      <c r="F77" s="373"/>
      <c r="G77" s="373"/>
      <c r="H77" s="17">
        <v>2.0000000000000001E-4</v>
      </c>
      <c r="I77" s="16">
        <f t="shared" si="1"/>
        <v>0.215</v>
      </c>
      <c r="J77" s="48"/>
    </row>
    <row r="78" spans="1:11" x14ac:dyDescent="0.2">
      <c r="A78" s="129" t="s">
        <v>7</v>
      </c>
      <c r="B78" s="373" t="s">
        <v>189</v>
      </c>
      <c r="C78" s="373"/>
      <c r="D78" s="373"/>
      <c r="E78" s="373"/>
      <c r="F78" s="373"/>
      <c r="G78" s="373"/>
      <c r="H78" s="148">
        <v>2.9999999999999997E-4</v>
      </c>
      <c r="I78" s="16">
        <f t="shared" si="1"/>
        <v>0.32249999999999995</v>
      </c>
      <c r="J78" s="48"/>
    </row>
    <row r="79" spans="1:11" x14ac:dyDescent="0.2">
      <c r="A79" s="129" t="s">
        <v>27</v>
      </c>
      <c r="B79" s="373" t="s">
        <v>190</v>
      </c>
      <c r="C79" s="373"/>
      <c r="D79" s="373"/>
      <c r="E79" s="373"/>
      <c r="F79" s="373"/>
      <c r="G79" s="373"/>
      <c r="H79" s="17">
        <v>6.9999999999999999E-4</v>
      </c>
      <c r="I79" s="16">
        <f t="shared" si="1"/>
        <v>0.75249999999999995</v>
      </c>
      <c r="J79" s="48"/>
    </row>
    <row r="80" spans="1:11" x14ac:dyDescent="0.2">
      <c r="A80" s="129"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93.847500000000011</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129" t="s">
        <v>21</v>
      </c>
      <c r="I83" s="129" t="s">
        <v>22</v>
      </c>
      <c r="J83" s="48"/>
    </row>
    <row r="84" spans="1:10" x14ac:dyDescent="0.2">
      <c r="A84" s="129"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129" t="s">
        <v>22</v>
      </c>
      <c r="J88" s="48"/>
    </row>
    <row r="89" spans="1:10" x14ac:dyDescent="0.2">
      <c r="A89" s="129" t="s">
        <v>77</v>
      </c>
      <c r="B89" s="370" t="s">
        <v>193</v>
      </c>
      <c r="C89" s="370"/>
      <c r="D89" s="370"/>
      <c r="E89" s="370"/>
      <c r="F89" s="370"/>
      <c r="G89" s="370"/>
      <c r="H89" s="370"/>
      <c r="I89" s="16">
        <f>I81</f>
        <v>93.847500000000011</v>
      </c>
      <c r="J89" s="48"/>
    </row>
    <row r="90" spans="1:10" x14ac:dyDescent="0.2">
      <c r="A90" s="129" t="s">
        <v>78</v>
      </c>
      <c r="B90" s="370" t="s">
        <v>194</v>
      </c>
      <c r="C90" s="370"/>
      <c r="D90" s="370"/>
      <c r="E90" s="370"/>
      <c r="F90" s="370"/>
      <c r="G90" s="370"/>
      <c r="H90" s="370"/>
      <c r="I90" s="16">
        <f>I85</f>
        <v>0</v>
      </c>
      <c r="J90" s="48"/>
    </row>
    <row r="91" spans="1:10" x14ac:dyDescent="0.2">
      <c r="A91" s="129" t="s">
        <v>46</v>
      </c>
      <c r="B91" s="370" t="s">
        <v>195</v>
      </c>
      <c r="C91" s="370"/>
      <c r="D91" s="370"/>
      <c r="E91" s="370"/>
      <c r="F91" s="370"/>
      <c r="G91" s="370"/>
      <c r="H91" s="370"/>
      <c r="I91" s="16">
        <f>(H81*H46)*I89</f>
        <v>2.9338727451750009</v>
      </c>
      <c r="J91" s="48"/>
    </row>
    <row r="92" spans="1:10" x14ac:dyDescent="0.2">
      <c r="A92" s="389" t="s">
        <v>79</v>
      </c>
      <c r="B92" s="389"/>
      <c r="C92" s="389"/>
      <c r="D92" s="389"/>
      <c r="E92" s="389"/>
      <c r="F92" s="389"/>
      <c r="G92" s="389"/>
      <c r="H92" s="389"/>
      <c r="I92" s="13">
        <f>(SUM(I89:I90))</f>
        <v>93.847500000000011</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129">
        <v>5</v>
      </c>
      <c r="B95" s="389" t="s">
        <v>81</v>
      </c>
      <c r="C95" s="389"/>
      <c r="D95" s="389"/>
      <c r="E95" s="389"/>
      <c r="F95" s="389"/>
      <c r="G95" s="389"/>
      <c r="H95" s="129"/>
      <c r="I95" s="129" t="s">
        <v>22</v>
      </c>
      <c r="J95" s="48"/>
    </row>
    <row r="96" spans="1:10" x14ac:dyDescent="0.2">
      <c r="A96" s="129" t="s">
        <v>1</v>
      </c>
      <c r="B96" s="393" t="s">
        <v>82</v>
      </c>
      <c r="C96" s="393"/>
      <c r="D96" s="393"/>
      <c r="E96" s="393"/>
      <c r="F96" s="393"/>
      <c r="G96" s="393"/>
      <c r="H96" s="128" t="s">
        <v>50</v>
      </c>
      <c r="I96" s="66">
        <f>UNIFORME!F10</f>
        <v>28.666666666666668</v>
      </c>
      <c r="J96" s="48"/>
    </row>
    <row r="97" spans="1:13" x14ac:dyDescent="0.2">
      <c r="A97" s="129" t="s">
        <v>3</v>
      </c>
      <c r="B97" s="393" t="s">
        <v>83</v>
      </c>
      <c r="C97" s="393"/>
      <c r="D97" s="393"/>
      <c r="E97" s="393"/>
      <c r="F97" s="393"/>
      <c r="G97" s="393"/>
      <c r="H97" s="128" t="s">
        <v>50</v>
      </c>
      <c r="I97" s="16">
        <f>MATERIAL!H104</f>
        <v>1296.4523297491039</v>
      </c>
      <c r="J97" s="48"/>
    </row>
    <row r="98" spans="1:13" x14ac:dyDescent="0.2">
      <c r="A98" s="21" t="s">
        <v>5</v>
      </c>
      <c r="B98" s="393" t="s">
        <v>84</v>
      </c>
      <c r="C98" s="393"/>
      <c r="D98" s="393"/>
      <c r="E98" s="393"/>
      <c r="F98" s="393"/>
      <c r="G98" s="393"/>
      <c r="H98" s="128" t="s">
        <v>50</v>
      </c>
      <c r="I98" s="16">
        <f>MATERIAL!I123</f>
        <v>30.513888888888889</v>
      </c>
      <c r="J98" s="48"/>
    </row>
    <row r="99" spans="1:13" x14ac:dyDescent="0.2">
      <c r="A99" s="21" t="s">
        <v>7</v>
      </c>
      <c r="B99" s="393" t="s">
        <v>435</v>
      </c>
      <c r="C99" s="393"/>
      <c r="D99" s="393"/>
      <c r="E99" s="393"/>
      <c r="F99" s="393"/>
      <c r="G99" s="393"/>
      <c r="H99" s="128" t="s">
        <v>50</v>
      </c>
      <c r="I99" s="16">
        <f>MATERIAL!H59</f>
        <v>20.76595744680851</v>
      </c>
      <c r="J99" s="48"/>
    </row>
    <row r="100" spans="1:13" x14ac:dyDescent="0.2">
      <c r="A100" s="389" t="s">
        <v>85</v>
      </c>
      <c r="B100" s="389"/>
      <c r="C100" s="389"/>
      <c r="D100" s="389"/>
      <c r="E100" s="389"/>
      <c r="F100" s="389"/>
      <c r="G100" s="389"/>
      <c r="H100" s="12" t="s">
        <v>50</v>
      </c>
      <c r="I100" s="13">
        <f>(SUM(I96:I99))</f>
        <v>1376.398842751468</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129">
        <v>6</v>
      </c>
      <c r="B103" s="389" t="s">
        <v>87</v>
      </c>
      <c r="C103" s="389"/>
      <c r="D103" s="389"/>
      <c r="E103" s="389"/>
      <c r="F103" s="389"/>
      <c r="G103" s="389"/>
      <c r="H103" s="129" t="s">
        <v>21</v>
      </c>
      <c r="I103" s="129" t="s">
        <v>22</v>
      </c>
      <c r="J103" s="48"/>
      <c r="K103" s="52">
        <f>'ANEXO VII'!M57</f>
        <v>197.15170301310718</v>
      </c>
    </row>
    <row r="104" spans="1:13" x14ac:dyDescent="0.2">
      <c r="A104" s="129" t="s">
        <v>1</v>
      </c>
      <c r="B104" s="373" t="s">
        <v>88</v>
      </c>
      <c r="C104" s="373"/>
      <c r="D104" s="373"/>
      <c r="E104" s="373"/>
      <c r="F104" s="373"/>
      <c r="G104" s="373"/>
      <c r="H104" s="22">
        <v>5.21E-2</v>
      </c>
      <c r="I104" s="16">
        <f>I120*H104</f>
        <v>187.48208426772646</v>
      </c>
      <c r="J104" s="48"/>
      <c r="M104" s="52"/>
    </row>
    <row r="105" spans="1:13" x14ac:dyDescent="0.2">
      <c r="A105" s="129" t="s">
        <v>3</v>
      </c>
      <c r="B105" s="373" t="s">
        <v>89</v>
      </c>
      <c r="C105" s="373"/>
      <c r="D105" s="373"/>
      <c r="E105" s="373"/>
      <c r="F105" s="373"/>
      <c r="G105" s="373"/>
      <c r="H105" s="22">
        <v>0.05</v>
      </c>
      <c r="I105" s="16">
        <f>(I120+I104)*H105</f>
        <v>189.29932903845972</v>
      </c>
      <c r="J105" s="48"/>
    </row>
    <row r="106" spans="1:13" x14ac:dyDescent="0.2">
      <c r="A106" s="129" t="s">
        <v>5</v>
      </c>
      <c r="B106" s="392" t="s">
        <v>90</v>
      </c>
      <c r="C106" s="392"/>
      <c r="D106" s="392"/>
      <c r="E106" s="392"/>
      <c r="F106" s="392"/>
      <c r="G106" s="392"/>
      <c r="H106" s="23">
        <f>H107+H108+H109</f>
        <v>8.6499999999999994E-2</v>
      </c>
      <c r="I106" s="24"/>
      <c r="J106" s="48"/>
    </row>
    <row r="107" spans="1:13" x14ac:dyDescent="0.2">
      <c r="A107" s="129" t="s">
        <v>91</v>
      </c>
      <c r="B107" s="373" t="s">
        <v>92</v>
      </c>
      <c r="C107" s="373"/>
      <c r="D107" s="373"/>
      <c r="E107" s="373"/>
      <c r="F107" s="373"/>
      <c r="G107" s="373"/>
      <c r="H107" s="25">
        <v>6.4999999999999997E-3</v>
      </c>
      <c r="I107" s="16">
        <f>K110*H107</f>
        <v>28.286106637930761</v>
      </c>
      <c r="J107" s="48"/>
      <c r="K107" s="65">
        <f>1-H106</f>
        <v>0.91349999999999998</v>
      </c>
    </row>
    <row r="108" spans="1:13" x14ac:dyDescent="0.2">
      <c r="A108" s="129" t="s">
        <v>93</v>
      </c>
      <c r="B108" s="373" t="s">
        <v>94</v>
      </c>
      <c r="C108" s="373"/>
      <c r="D108" s="373"/>
      <c r="E108" s="373"/>
      <c r="F108" s="373"/>
      <c r="G108" s="373"/>
      <c r="H108" s="25">
        <v>0.03</v>
      </c>
      <c r="I108" s="16">
        <f>K110*H108</f>
        <v>130.55126140583428</v>
      </c>
      <c r="J108" s="48"/>
      <c r="K108" s="45">
        <f>K107/1</f>
        <v>0.91349999999999998</v>
      </c>
    </row>
    <row r="109" spans="1:13" x14ac:dyDescent="0.2">
      <c r="A109" s="129" t="s">
        <v>95</v>
      </c>
      <c r="B109" s="373" t="s">
        <v>96</v>
      </c>
      <c r="C109" s="373"/>
      <c r="D109" s="373"/>
      <c r="E109" s="373"/>
      <c r="F109" s="373"/>
      <c r="G109" s="373"/>
      <c r="H109" s="26">
        <v>0.05</v>
      </c>
      <c r="I109" s="16">
        <f>K110*H109</f>
        <v>217.58543567639049</v>
      </c>
      <c r="J109" s="48"/>
      <c r="K109" s="20">
        <f>I120+I104+I105</f>
        <v>3975.2859098076538</v>
      </c>
    </row>
    <row r="110" spans="1:13" x14ac:dyDescent="0.2">
      <c r="A110" s="389" t="s">
        <v>97</v>
      </c>
      <c r="B110" s="389"/>
      <c r="C110" s="389"/>
      <c r="D110" s="389"/>
      <c r="E110" s="389"/>
      <c r="F110" s="389"/>
      <c r="G110" s="389"/>
      <c r="H110" s="25">
        <f>SUM(H104+H105+H106)</f>
        <v>0.18859999999999999</v>
      </c>
      <c r="I110" s="13">
        <f>(SUM(I104:I109))</f>
        <v>753.20421702634167</v>
      </c>
      <c r="J110" s="48"/>
      <c r="K110" s="20">
        <f>K109/K108</f>
        <v>4351.7087135278098</v>
      </c>
    </row>
    <row r="111" spans="1:13" x14ac:dyDescent="0.2">
      <c r="A111" s="131"/>
      <c r="B111" s="390"/>
      <c r="C111" s="390"/>
      <c r="D111" s="390"/>
      <c r="E111" s="390"/>
      <c r="F111" s="390"/>
      <c r="G111" s="390"/>
      <c r="H111" s="390"/>
      <c r="I111" s="390"/>
    </row>
    <row r="112" spans="1:13" x14ac:dyDescent="0.2">
      <c r="A112" s="131"/>
      <c r="B112" s="131"/>
      <c r="C112" s="131"/>
      <c r="D112" s="131"/>
      <c r="E112" s="131"/>
      <c r="F112" s="131"/>
      <c r="G112" s="131"/>
      <c r="H112" s="131"/>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129" t="s">
        <v>22</v>
      </c>
    </row>
    <row r="115" spans="1:12" x14ac:dyDescent="0.2">
      <c r="A115" s="128" t="s">
        <v>1</v>
      </c>
      <c r="B115" s="373" t="str">
        <f>A19</f>
        <v>MÓDULO 1 - COMPOSIÇÃO DA REMUNERAÇÃO</v>
      </c>
      <c r="C115" s="373"/>
      <c r="D115" s="373"/>
      <c r="E115" s="373"/>
      <c r="F115" s="373"/>
      <c r="G115" s="373"/>
      <c r="H115" s="373"/>
      <c r="I115" s="16">
        <f>I28</f>
        <v>1075</v>
      </c>
      <c r="K115" s="20"/>
      <c r="L115" s="53"/>
    </row>
    <row r="116" spans="1:12" x14ac:dyDescent="0.2">
      <c r="A116" s="128" t="s">
        <v>3</v>
      </c>
      <c r="B116" s="373" t="str">
        <f>A30</f>
        <v>MÓDULO 2 – ENCARGOS E BENEFÍCIOS ANUAIS, MENSAIS E DIÁRIOS</v>
      </c>
      <c r="C116" s="373"/>
      <c r="D116" s="373"/>
      <c r="E116" s="373"/>
      <c r="F116" s="373"/>
      <c r="G116" s="373"/>
      <c r="H116" s="373"/>
      <c r="I116" s="16">
        <f>I61</f>
        <v>985.65877824999995</v>
      </c>
    </row>
    <row r="117" spans="1:12" x14ac:dyDescent="0.2">
      <c r="A117" s="128" t="s">
        <v>5</v>
      </c>
      <c r="B117" s="373" t="str">
        <f>A63</f>
        <v>MÓDULO 3 – PROVISÃO PARA RESCISÃO</v>
      </c>
      <c r="C117" s="373"/>
      <c r="D117" s="373"/>
      <c r="E117" s="373"/>
      <c r="F117" s="373"/>
      <c r="G117" s="373"/>
      <c r="H117" s="373"/>
      <c r="I117" s="16">
        <f>I71</f>
        <v>67.599375500000008</v>
      </c>
    </row>
    <row r="118" spans="1:12" x14ac:dyDescent="0.2">
      <c r="A118" s="128" t="s">
        <v>7</v>
      </c>
      <c r="B118" s="373" t="str">
        <f>A73</f>
        <v>MÓDULO 4 – CUSTO DE REPOSIÇÃO DO PROFISSIONAL AUSENTE</v>
      </c>
      <c r="C118" s="373"/>
      <c r="D118" s="373"/>
      <c r="E118" s="373"/>
      <c r="F118" s="373"/>
      <c r="G118" s="373"/>
      <c r="H118" s="373"/>
      <c r="I118" s="16">
        <f>I92</f>
        <v>93.847500000000011</v>
      </c>
    </row>
    <row r="119" spans="1:12" x14ac:dyDescent="0.2">
      <c r="A119" s="128" t="s">
        <v>27</v>
      </c>
      <c r="B119" s="373" t="str">
        <f>A94</f>
        <v>MÓDULO 5 – INSUMOS DIVERSOS</v>
      </c>
      <c r="C119" s="373"/>
      <c r="D119" s="373"/>
      <c r="E119" s="373"/>
      <c r="F119" s="373"/>
      <c r="G119" s="373"/>
      <c r="H119" s="373"/>
      <c r="I119" s="16">
        <f>I100</f>
        <v>1376.398842751468</v>
      </c>
    </row>
    <row r="120" spans="1:12" x14ac:dyDescent="0.2">
      <c r="A120" s="129"/>
      <c r="B120" s="389" t="s">
        <v>100</v>
      </c>
      <c r="C120" s="389"/>
      <c r="D120" s="389"/>
      <c r="E120" s="389"/>
      <c r="F120" s="389"/>
      <c r="G120" s="389"/>
      <c r="H120" s="389"/>
      <c r="I120" s="13">
        <f>(SUM(I115:I119))</f>
        <v>3598.5044965014677</v>
      </c>
    </row>
    <row r="121" spans="1:12" x14ac:dyDescent="0.2">
      <c r="A121" s="128" t="s">
        <v>29</v>
      </c>
      <c r="B121" s="373" t="str">
        <f>A102</f>
        <v>MÓDULO 6 – CUSTOS INDIRETOS, TRIBUTOS E LUCRO</v>
      </c>
      <c r="C121" s="373"/>
      <c r="D121" s="373"/>
      <c r="E121" s="373"/>
      <c r="F121" s="373"/>
      <c r="G121" s="373"/>
      <c r="H121" s="373"/>
      <c r="I121" s="5">
        <f>I110</f>
        <v>753.20421702634167</v>
      </c>
    </row>
    <row r="122" spans="1:12" x14ac:dyDescent="0.2">
      <c r="A122" s="389" t="s">
        <v>101</v>
      </c>
      <c r="B122" s="389"/>
      <c r="C122" s="389"/>
      <c r="D122" s="389"/>
      <c r="E122" s="389"/>
      <c r="F122" s="389"/>
      <c r="G122" s="389"/>
      <c r="H122" s="389"/>
      <c r="I122" s="13">
        <f>(SUM(I120:I121))</f>
        <v>4351.7087135278089</v>
      </c>
      <c r="K122" s="51"/>
    </row>
    <row r="123" spans="1:12" x14ac:dyDescent="0.2">
      <c r="I123" s="20"/>
      <c r="K123" s="51"/>
    </row>
    <row r="124" spans="1:12" hidden="1" x14ac:dyDescent="0.2">
      <c r="A124" s="131"/>
      <c r="B124" s="379" t="s">
        <v>102</v>
      </c>
      <c r="C124" s="379"/>
      <c r="D124" s="379"/>
      <c r="E124" s="379"/>
      <c r="F124" s="379"/>
      <c r="G124" s="379"/>
      <c r="H124" s="8"/>
      <c r="I124" s="8"/>
      <c r="K124" s="51"/>
    </row>
    <row r="125" spans="1:12" ht="40.5" hidden="1" customHeight="1" x14ac:dyDescent="0.2">
      <c r="A125" s="385" t="s">
        <v>103</v>
      </c>
      <c r="B125" s="385"/>
      <c r="C125" s="385" t="s">
        <v>104</v>
      </c>
      <c r="D125" s="385"/>
      <c r="E125" s="385" t="s">
        <v>105</v>
      </c>
      <c r="F125" s="385"/>
      <c r="G125" s="28" t="s">
        <v>106</v>
      </c>
      <c r="H125" s="132" t="s">
        <v>107</v>
      </c>
      <c r="I125" s="134"/>
      <c r="K125" s="51"/>
    </row>
    <row r="126" spans="1:12" hidden="1" x14ac:dyDescent="0.2">
      <c r="A126" s="386" t="s">
        <v>108</v>
      </c>
      <c r="B126" s="386"/>
      <c r="C126" s="387" t="s">
        <v>109</v>
      </c>
      <c r="D126" s="387"/>
      <c r="E126" s="388"/>
      <c r="F126" s="388"/>
      <c r="G126" s="29" t="s">
        <v>109</v>
      </c>
      <c r="H126" s="30"/>
      <c r="I126" s="31"/>
      <c r="K126" s="51"/>
    </row>
    <row r="127" spans="1:12" hidden="1" x14ac:dyDescent="0.2">
      <c r="A127" s="381" t="s">
        <v>110</v>
      </c>
      <c r="B127" s="381"/>
      <c r="C127" s="382" t="s">
        <v>109</v>
      </c>
      <c r="D127" s="382"/>
      <c r="E127" s="383"/>
      <c r="F127" s="383"/>
      <c r="G127" s="32" t="s">
        <v>109</v>
      </c>
      <c r="H127" s="33"/>
      <c r="I127" s="34"/>
      <c r="K127" s="51"/>
    </row>
    <row r="128" spans="1:12" hidden="1" x14ac:dyDescent="0.2">
      <c r="A128" s="381" t="s">
        <v>111</v>
      </c>
      <c r="B128" s="381"/>
      <c r="C128" s="382" t="s">
        <v>109</v>
      </c>
      <c r="D128" s="382"/>
      <c r="E128" s="383"/>
      <c r="F128" s="383"/>
      <c r="G128" s="32" t="s">
        <v>109</v>
      </c>
      <c r="H128" s="33"/>
      <c r="I128" s="34"/>
      <c r="K128" s="51"/>
    </row>
    <row r="129" spans="1:11" hidden="1" x14ac:dyDescent="0.2">
      <c r="A129" s="381" t="s">
        <v>112</v>
      </c>
      <c r="B129" s="381"/>
      <c r="C129" s="382" t="s">
        <v>109</v>
      </c>
      <c r="D129" s="382"/>
      <c r="E129" s="383"/>
      <c r="F129" s="383"/>
      <c r="G129" s="32" t="s">
        <v>109</v>
      </c>
      <c r="H129" s="33"/>
      <c r="I129" s="34"/>
      <c r="K129" s="51"/>
    </row>
    <row r="130" spans="1:11" hidden="1" x14ac:dyDescent="0.2">
      <c r="A130" s="384"/>
      <c r="B130" s="384"/>
      <c r="C130" s="383"/>
      <c r="D130" s="383"/>
      <c r="E130" s="383"/>
      <c r="F130" s="383"/>
      <c r="G130" s="35"/>
      <c r="H130" s="36"/>
      <c r="I130" s="34"/>
      <c r="K130" s="51"/>
    </row>
    <row r="131" spans="1:11" ht="13.5" hidden="1" thickBot="1" x14ac:dyDescent="0.25">
      <c r="A131" s="376"/>
      <c r="B131" s="376"/>
      <c r="C131" s="377"/>
      <c r="D131" s="377"/>
      <c r="E131" s="377"/>
      <c r="F131" s="377"/>
      <c r="G131" s="37"/>
      <c r="H131" s="38"/>
      <c r="I131" s="39"/>
      <c r="K131" s="51"/>
    </row>
    <row r="132" spans="1:11" ht="13.5" hidden="1" thickBot="1" x14ac:dyDescent="0.25">
      <c r="A132" s="378" t="s">
        <v>113</v>
      </c>
      <c r="B132" s="378"/>
      <c r="C132" s="378"/>
      <c r="D132" s="378"/>
      <c r="E132" s="378"/>
      <c r="F132" s="378"/>
      <c r="G132" s="378"/>
      <c r="H132" s="378"/>
      <c r="I132" s="40"/>
      <c r="K132" s="51"/>
    </row>
    <row r="133" spans="1:11" x14ac:dyDescent="0.2">
      <c r="I133" s="20"/>
    </row>
    <row r="134" spans="1:11" hidden="1" x14ac:dyDescent="0.2">
      <c r="A134" s="131"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133"/>
      <c r="B136" s="371" t="s">
        <v>117</v>
      </c>
      <c r="C136" s="371"/>
      <c r="D136" s="371"/>
      <c r="E136" s="371"/>
      <c r="F136" s="371"/>
      <c r="G136" s="371"/>
      <c r="H136" s="371"/>
      <c r="I136" s="134" t="s">
        <v>22</v>
      </c>
    </row>
    <row r="137" spans="1:11" hidden="1" x14ac:dyDescent="0.2">
      <c r="A137" s="41" t="s">
        <v>1</v>
      </c>
      <c r="B137" s="372" t="s">
        <v>118</v>
      </c>
      <c r="C137" s="372"/>
      <c r="D137" s="372"/>
      <c r="E137" s="372"/>
      <c r="F137" s="372"/>
      <c r="G137" s="372"/>
      <c r="H137" s="372"/>
      <c r="I137" s="42">
        <f>I107</f>
        <v>28.286106637930761</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753.20421702634167</v>
      </c>
    </row>
    <row r="140" spans="1:11" ht="13.5" hidden="1" thickBot="1" x14ac:dyDescent="0.25">
      <c r="A140" s="375" t="s">
        <v>121</v>
      </c>
      <c r="B140" s="375"/>
      <c r="C140" s="375"/>
      <c r="D140" s="375"/>
      <c r="E140" s="375"/>
      <c r="F140" s="375"/>
      <c r="G140" s="375"/>
      <c r="H140" s="375"/>
      <c r="I140" s="40" t="e">
        <f>SUM(I137:I139)</f>
        <v>#REF!</v>
      </c>
    </row>
    <row r="141" spans="1:11" hidden="1" x14ac:dyDescent="0.2">
      <c r="A141" s="131" t="s">
        <v>122</v>
      </c>
      <c r="B141" s="45" t="s">
        <v>123</v>
      </c>
    </row>
    <row r="143" spans="1:11" ht="15.75" thickBot="1" x14ac:dyDescent="0.25">
      <c r="A143" s="195" t="s">
        <v>242</v>
      </c>
      <c r="B143" s="195"/>
      <c r="C143" s="195"/>
      <c r="D143" s="195"/>
      <c r="E143" s="195"/>
      <c r="F143" s="195"/>
      <c r="G143" s="195"/>
      <c r="H143" s="195"/>
    </row>
    <row r="144" spans="1:11" ht="15" x14ac:dyDescent="0.2">
      <c r="A144" s="419" t="s">
        <v>243</v>
      </c>
      <c r="B144" s="420"/>
      <c r="C144" s="421"/>
      <c r="D144" s="196" t="s">
        <v>244</v>
      </c>
      <c r="E144" s="419" t="s">
        <v>245</v>
      </c>
      <c r="F144" s="421"/>
      <c r="G144" s="419" t="s">
        <v>246</v>
      </c>
      <c r="H144" s="421"/>
    </row>
    <row r="145" spans="1:8" ht="15.75" thickBot="1" x14ac:dyDescent="0.25">
      <c r="A145" s="197"/>
      <c r="B145" s="198"/>
      <c r="C145" s="199"/>
      <c r="D145" s="200" t="s">
        <v>247</v>
      </c>
      <c r="E145" s="422" t="s">
        <v>248</v>
      </c>
      <c r="F145" s="423"/>
      <c r="G145" s="422" t="s">
        <v>249</v>
      </c>
      <c r="H145" s="423"/>
    </row>
    <row r="146" spans="1:8" ht="15.75" thickBot="1" x14ac:dyDescent="0.25">
      <c r="A146" s="201" t="s">
        <v>134</v>
      </c>
      <c r="B146" s="202"/>
      <c r="C146" s="202"/>
      <c r="D146" s="203">
        <f>1/(30*250)</f>
        <v>1.3333333333333334E-4</v>
      </c>
      <c r="E146" s="424">
        <v>0</v>
      </c>
      <c r="F146" s="425"/>
      <c r="G146" s="426">
        <f>D146*E146</f>
        <v>0</v>
      </c>
      <c r="H146" s="427"/>
    </row>
    <row r="147" spans="1:8" ht="15.75" thickBot="1" x14ac:dyDescent="0.25">
      <c r="A147" s="204" t="s">
        <v>140</v>
      </c>
      <c r="B147" s="205"/>
      <c r="C147" s="205"/>
      <c r="D147" s="206">
        <f>1/250</f>
        <v>4.0000000000000001E-3</v>
      </c>
      <c r="E147" s="428">
        <f>I122</f>
        <v>4351.7087135278089</v>
      </c>
      <c r="F147" s="418"/>
      <c r="G147" s="426">
        <f>D147*E147</f>
        <v>17.406834854111235</v>
      </c>
      <c r="H147" s="427"/>
    </row>
    <row r="148" spans="1:8" ht="15.75" thickBot="1" x14ac:dyDescent="0.25">
      <c r="A148" s="417" t="s">
        <v>250</v>
      </c>
      <c r="B148" s="418"/>
      <c r="C148" s="418"/>
      <c r="D148" s="418"/>
      <c r="E148" s="418"/>
      <c r="F148" s="418"/>
      <c r="G148" s="204"/>
      <c r="H148" s="207">
        <f>SUM(G146:H147)</f>
        <v>17.406834854111235</v>
      </c>
    </row>
  </sheetData>
  <mergeCells count="181">
    <mergeCell ref="A148:F148"/>
    <mergeCell ref="E145:F145"/>
    <mergeCell ref="G145:H145"/>
    <mergeCell ref="E146:F146"/>
    <mergeCell ref="G146:H146"/>
    <mergeCell ref="E147:F147"/>
    <mergeCell ref="G147:H147"/>
    <mergeCell ref="B136:H136"/>
    <mergeCell ref="B137:H137"/>
    <mergeCell ref="B138:H138"/>
    <mergeCell ref="B139:H139"/>
    <mergeCell ref="A140:H140"/>
    <mergeCell ref="A144:C144"/>
    <mergeCell ref="E144:F144"/>
    <mergeCell ref="G144:H144"/>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B117:H117"/>
    <mergeCell ref="B118:H118"/>
    <mergeCell ref="B119:H119"/>
    <mergeCell ref="B120:H120"/>
    <mergeCell ref="B121:H121"/>
    <mergeCell ref="A122:H122"/>
    <mergeCell ref="A110:G110"/>
    <mergeCell ref="B111:I111"/>
    <mergeCell ref="A113:I113"/>
    <mergeCell ref="A114:H114"/>
    <mergeCell ref="B115:H115"/>
    <mergeCell ref="B116:H116"/>
    <mergeCell ref="B104:G104"/>
    <mergeCell ref="B105:G105"/>
    <mergeCell ref="B106:G106"/>
    <mergeCell ref="B107:G107"/>
    <mergeCell ref="B108:G108"/>
    <mergeCell ref="B109:G109"/>
    <mergeCell ref="B98:G98"/>
    <mergeCell ref="B99:G99"/>
    <mergeCell ref="A100:G100"/>
    <mergeCell ref="A101:I101"/>
    <mergeCell ref="A102:I102"/>
    <mergeCell ref="B103:G103"/>
    <mergeCell ref="A92:H92"/>
    <mergeCell ref="A93:I93"/>
    <mergeCell ref="A94:I94"/>
    <mergeCell ref="B95:G95"/>
    <mergeCell ref="B96:G96"/>
    <mergeCell ref="B97:G97"/>
    <mergeCell ref="A86:I86"/>
    <mergeCell ref="A87:I87"/>
    <mergeCell ref="A88:H88"/>
    <mergeCell ref="B89:H89"/>
    <mergeCell ref="B90:H90"/>
    <mergeCell ref="B91:H91"/>
    <mergeCell ref="B80:G80"/>
    <mergeCell ref="A81:G81"/>
    <mergeCell ref="A82:I82"/>
    <mergeCell ref="A83:G83"/>
    <mergeCell ref="B84:G84"/>
    <mergeCell ref="A85:G85"/>
    <mergeCell ref="A74:G74"/>
    <mergeCell ref="B75:G75"/>
    <mergeCell ref="B76:G76"/>
    <mergeCell ref="B77:G77"/>
    <mergeCell ref="B78:G78"/>
    <mergeCell ref="B79:G79"/>
    <mergeCell ref="B68:G68"/>
    <mergeCell ref="B69:G69"/>
    <mergeCell ref="B70:G70"/>
    <mergeCell ref="A71:G71"/>
    <mergeCell ref="A72:I72"/>
    <mergeCell ref="A73:I73"/>
    <mergeCell ref="A62:I62"/>
    <mergeCell ref="A63:I63"/>
    <mergeCell ref="B64:G64"/>
    <mergeCell ref="B65:G65"/>
    <mergeCell ref="B66:G66"/>
    <mergeCell ref="B67:G67"/>
    <mergeCell ref="B58:H58"/>
    <mergeCell ref="B59:H59"/>
    <mergeCell ref="B60:H60"/>
    <mergeCell ref="A61:H61"/>
    <mergeCell ref="B50:G50"/>
    <mergeCell ref="B51:G51"/>
    <mergeCell ref="B52:G52"/>
    <mergeCell ref="B53:G53"/>
    <mergeCell ref="A54:H54"/>
    <mergeCell ref="A55:I55"/>
    <mergeCell ref="A46:G46"/>
    <mergeCell ref="A47:I47"/>
    <mergeCell ref="A48:G48"/>
    <mergeCell ref="B49:G49"/>
    <mergeCell ref="A35:G35"/>
    <mergeCell ref="A36:I36"/>
    <mergeCell ref="A37:G37"/>
    <mergeCell ref="A56:I56"/>
    <mergeCell ref="A57:H57"/>
    <mergeCell ref="K37:K45"/>
    <mergeCell ref="B38:G38"/>
    <mergeCell ref="B39:G39"/>
    <mergeCell ref="B40:G40"/>
    <mergeCell ref="B41:G41"/>
    <mergeCell ref="B42:G42"/>
    <mergeCell ref="B43:G43"/>
    <mergeCell ref="A28:H28"/>
    <mergeCell ref="A30:I30"/>
    <mergeCell ref="A31:G31"/>
    <mergeCell ref="B32:G32"/>
    <mergeCell ref="B33:G33"/>
    <mergeCell ref="B34:G34"/>
    <mergeCell ref="B44:G44"/>
    <mergeCell ref="B45:G45"/>
    <mergeCell ref="B22:G22"/>
    <mergeCell ref="B23:G23"/>
    <mergeCell ref="B24:G24"/>
    <mergeCell ref="B25:G25"/>
    <mergeCell ref="B26:G26"/>
    <mergeCell ref="B27:G27"/>
    <mergeCell ref="B16:H16"/>
    <mergeCell ref="B17:H17"/>
    <mergeCell ref="A18:I18"/>
    <mergeCell ref="A19:I19"/>
    <mergeCell ref="B20:G20"/>
    <mergeCell ref="B21:G21"/>
    <mergeCell ref="A12:I12"/>
    <mergeCell ref="L12:Q12"/>
    <mergeCell ref="R12:S12"/>
    <mergeCell ref="B13:H13"/>
    <mergeCell ref="B14:H14"/>
    <mergeCell ref="B15:H15"/>
    <mergeCell ref="A10:B10"/>
    <mergeCell ref="C10:D10"/>
    <mergeCell ref="E10:I10"/>
    <mergeCell ref="L10:Q10"/>
    <mergeCell ref="R10:S10"/>
    <mergeCell ref="L11:Q11"/>
    <mergeCell ref="R11:S11"/>
    <mergeCell ref="B6:H6"/>
    <mergeCell ref="K6:S6"/>
    <mergeCell ref="K7:S7"/>
    <mergeCell ref="A8:I8"/>
    <mergeCell ref="K8:S8"/>
    <mergeCell ref="A9:B9"/>
    <mergeCell ref="C9:D9"/>
    <mergeCell ref="E9:I9"/>
    <mergeCell ref="L9:Q9"/>
    <mergeCell ref="R9:S9"/>
    <mergeCell ref="B4:H4"/>
    <mergeCell ref="L4:M4"/>
    <mergeCell ref="N4:Q4"/>
    <mergeCell ref="R4:S4"/>
    <mergeCell ref="B5:H5"/>
    <mergeCell ref="K5:S5"/>
    <mergeCell ref="A2:I2"/>
    <mergeCell ref="K2:S2"/>
    <mergeCell ref="B3:H3"/>
    <mergeCell ref="L3:M3"/>
    <mergeCell ref="N3:Q3"/>
    <mergeCell ref="R3:S3"/>
  </mergeCells>
  <pageMargins left="0.25" right="0.25" top="0.75" bottom="0.75" header="0.3" footer="0.3"/>
  <pageSetup paperSize="9" firstPageNumber="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4091-7446-4270-880F-680030F01878}">
  <dimension ref="A2:S149"/>
  <sheetViews>
    <sheetView tabSelected="1" topLeftCell="A65" zoomScale="118" zoomScaleNormal="118" workbookViewId="0">
      <selection activeCell="I104" sqref="I104"/>
    </sheetView>
  </sheetViews>
  <sheetFormatPr defaultColWidth="9.140625" defaultRowHeight="12.75" x14ac:dyDescent="0.2"/>
  <cols>
    <col min="1" max="1" width="20.7109375" style="45" customWidth="1"/>
    <col min="2" max="2" width="23.7109375" style="45" customWidth="1"/>
    <col min="3" max="3" width="9.140625" style="45"/>
    <col min="4" max="4" width="14.28515625" style="45" customWidth="1"/>
    <col min="5" max="5" width="16.5703125" style="45" customWidth="1"/>
    <col min="6" max="6" width="10.42578125" style="45" bestFit="1" customWidth="1"/>
    <col min="7"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128" t="s">
        <v>1</v>
      </c>
      <c r="B3" s="373" t="s">
        <v>2</v>
      </c>
      <c r="C3" s="373"/>
      <c r="D3" s="373"/>
      <c r="E3" s="373"/>
      <c r="F3" s="373"/>
      <c r="G3" s="373"/>
      <c r="H3" s="373"/>
      <c r="I3" s="1">
        <v>44182</v>
      </c>
      <c r="K3" s="127"/>
      <c r="L3" s="410"/>
      <c r="M3" s="410"/>
      <c r="N3" s="410"/>
      <c r="O3" s="410"/>
      <c r="P3" s="410"/>
      <c r="Q3" s="410"/>
      <c r="R3" s="416"/>
      <c r="S3" s="416"/>
    </row>
    <row r="4" spans="1:19" x14ac:dyDescent="0.2">
      <c r="A4" s="128" t="s">
        <v>3</v>
      </c>
      <c r="B4" s="373" t="s">
        <v>4</v>
      </c>
      <c r="C4" s="373"/>
      <c r="D4" s="373"/>
      <c r="E4" s="373"/>
      <c r="F4" s="373"/>
      <c r="G4" s="373"/>
      <c r="H4" s="373"/>
      <c r="I4" s="128" t="s">
        <v>183</v>
      </c>
      <c r="K4" s="127"/>
      <c r="L4" s="407"/>
      <c r="M4" s="407"/>
      <c r="N4" s="410"/>
      <c r="O4" s="410"/>
      <c r="P4" s="410"/>
      <c r="Q4" s="410"/>
      <c r="R4" s="410"/>
      <c r="S4" s="410"/>
    </row>
    <row r="5" spans="1:19" x14ac:dyDescent="0.2">
      <c r="A5" s="128" t="s">
        <v>5</v>
      </c>
      <c r="B5" s="373" t="s">
        <v>6</v>
      </c>
      <c r="C5" s="373"/>
      <c r="D5" s="373"/>
      <c r="E5" s="373"/>
      <c r="F5" s="373"/>
      <c r="G5" s="373"/>
      <c r="H5" s="373"/>
      <c r="I5" s="128">
        <v>2020</v>
      </c>
      <c r="K5" s="414"/>
      <c r="L5" s="414"/>
      <c r="M5" s="414"/>
      <c r="N5" s="414"/>
      <c r="O5" s="414"/>
      <c r="P5" s="414"/>
      <c r="Q5" s="414"/>
      <c r="R5" s="414"/>
      <c r="S5" s="414"/>
    </row>
    <row r="6" spans="1:19" x14ac:dyDescent="0.2">
      <c r="A6" s="128" t="s">
        <v>7</v>
      </c>
      <c r="B6" s="373" t="s">
        <v>8</v>
      </c>
      <c r="C6" s="373"/>
      <c r="D6" s="373"/>
      <c r="E6" s="373"/>
      <c r="F6" s="373"/>
      <c r="G6" s="373"/>
      <c r="H6" s="373"/>
      <c r="I6" s="128">
        <v>12</v>
      </c>
      <c r="K6" s="414"/>
      <c r="L6" s="414"/>
      <c r="M6" s="414"/>
      <c r="N6" s="414"/>
      <c r="O6" s="414"/>
      <c r="P6" s="414"/>
      <c r="Q6" s="414"/>
      <c r="R6" s="414"/>
      <c r="S6" s="414"/>
    </row>
    <row r="7" spans="1:19" x14ac:dyDescent="0.2">
      <c r="A7" s="131"/>
      <c r="B7" s="130"/>
      <c r="C7" s="130"/>
      <c r="D7" s="130"/>
      <c r="E7" s="130"/>
      <c r="F7" s="130"/>
      <c r="G7" s="130"/>
      <c r="H7" s="131"/>
      <c r="I7" s="131"/>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127"/>
      <c r="L9" s="406"/>
      <c r="M9" s="406"/>
      <c r="N9" s="406"/>
      <c r="O9" s="406"/>
      <c r="P9" s="406"/>
      <c r="Q9" s="406"/>
      <c r="R9" s="410"/>
      <c r="S9" s="410"/>
    </row>
    <row r="10" spans="1:19" ht="27" customHeight="1" x14ac:dyDescent="0.2">
      <c r="A10" s="411" t="s">
        <v>129</v>
      </c>
      <c r="B10" s="411"/>
      <c r="C10" s="370"/>
      <c r="D10" s="370"/>
      <c r="E10" s="412">
        <v>1</v>
      </c>
      <c r="F10" s="412"/>
      <c r="G10" s="412"/>
      <c r="H10" s="412"/>
      <c r="I10" s="412"/>
      <c r="K10" s="126"/>
      <c r="L10" s="408"/>
      <c r="M10" s="408"/>
      <c r="N10" s="408"/>
      <c r="O10" s="408"/>
      <c r="P10" s="408"/>
      <c r="Q10" s="408"/>
      <c r="R10" s="413"/>
      <c r="S10" s="413"/>
    </row>
    <row r="11" spans="1:19" x14ac:dyDescent="0.2">
      <c r="A11" s="131"/>
      <c r="B11" s="130"/>
      <c r="C11" s="130"/>
      <c r="D11" s="130"/>
      <c r="E11" s="130"/>
      <c r="F11" s="130"/>
      <c r="G11" s="130"/>
      <c r="H11" s="131"/>
      <c r="I11" s="131"/>
      <c r="K11" s="127"/>
      <c r="L11" s="406"/>
      <c r="M11" s="406"/>
      <c r="N11" s="406"/>
      <c r="O11" s="406"/>
      <c r="P11" s="406"/>
      <c r="Q11" s="406"/>
      <c r="R11" s="407"/>
      <c r="S11" s="407"/>
    </row>
    <row r="12" spans="1:19" x14ac:dyDescent="0.2">
      <c r="A12" s="395" t="s">
        <v>13</v>
      </c>
      <c r="B12" s="395"/>
      <c r="C12" s="395"/>
      <c r="D12" s="395"/>
      <c r="E12" s="395"/>
      <c r="F12" s="395"/>
      <c r="G12" s="395"/>
      <c r="H12" s="395"/>
      <c r="I12" s="395"/>
      <c r="K12" s="126"/>
      <c r="L12" s="408"/>
      <c r="M12" s="408"/>
      <c r="N12" s="408"/>
      <c r="O12" s="408"/>
      <c r="P12" s="408"/>
      <c r="Q12" s="408"/>
      <c r="R12" s="409"/>
      <c r="S12" s="409"/>
    </row>
    <row r="13" spans="1:19" x14ac:dyDescent="0.2">
      <c r="A13" s="128">
        <v>1</v>
      </c>
      <c r="B13" s="373" t="s">
        <v>14</v>
      </c>
      <c r="C13" s="373"/>
      <c r="D13" s="373"/>
      <c r="E13" s="373"/>
      <c r="F13" s="373"/>
      <c r="G13" s="373"/>
      <c r="H13" s="373"/>
      <c r="I13" s="50" t="s">
        <v>184</v>
      </c>
      <c r="K13" s="2"/>
      <c r="L13" s="2"/>
      <c r="M13" s="2"/>
      <c r="N13" s="2"/>
      <c r="O13" s="2"/>
      <c r="P13" s="2"/>
      <c r="Q13" s="2"/>
      <c r="R13" s="2"/>
      <c r="S13" s="2"/>
    </row>
    <row r="14" spans="1:19" x14ac:dyDescent="0.2">
      <c r="A14" s="128">
        <v>2</v>
      </c>
      <c r="B14" s="373" t="s">
        <v>15</v>
      </c>
      <c r="C14" s="373"/>
      <c r="D14" s="373"/>
      <c r="E14" s="373"/>
      <c r="F14" s="373"/>
      <c r="G14" s="373"/>
      <c r="H14" s="373"/>
      <c r="I14" s="128"/>
    </row>
    <row r="15" spans="1:19" x14ac:dyDescent="0.2">
      <c r="A15" s="128">
        <v>3</v>
      </c>
      <c r="B15" s="373" t="s">
        <v>16</v>
      </c>
      <c r="C15" s="373"/>
      <c r="D15" s="373"/>
      <c r="E15" s="373"/>
      <c r="F15" s="373"/>
      <c r="G15" s="373"/>
      <c r="H15" s="373"/>
      <c r="I15" s="3">
        <v>1075</v>
      </c>
    </row>
    <row r="16" spans="1:19" x14ac:dyDescent="0.2">
      <c r="A16" s="128">
        <v>4</v>
      </c>
      <c r="B16" s="373" t="s">
        <v>17</v>
      </c>
      <c r="C16" s="373"/>
      <c r="D16" s="373"/>
      <c r="E16" s="373"/>
      <c r="F16" s="373"/>
      <c r="G16" s="373"/>
      <c r="H16" s="373"/>
      <c r="I16" s="1" t="str">
        <f>A10</f>
        <v>ASG</v>
      </c>
    </row>
    <row r="17" spans="1:12" x14ac:dyDescent="0.2">
      <c r="A17" s="128">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129">
        <v>1</v>
      </c>
      <c r="B20" s="389" t="s">
        <v>20</v>
      </c>
      <c r="C20" s="389"/>
      <c r="D20" s="389"/>
      <c r="E20" s="389"/>
      <c r="F20" s="389"/>
      <c r="G20" s="389"/>
      <c r="H20" s="129" t="s">
        <v>21</v>
      </c>
      <c r="I20" s="129" t="s">
        <v>22</v>
      </c>
    </row>
    <row r="21" spans="1:12" x14ac:dyDescent="0.2">
      <c r="A21" s="129" t="s">
        <v>1</v>
      </c>
      <c r="B21" s="373" t="s">
        <v>23</v>
      </c>
      <c r="C21" s="373"/>
      <c r="D21" s="373"/>
      <c r="E21" s="373"/>
      <c r="F21" s="373"/>
      <c r="G21" s="373"/>
      <c r="H21" s="4"/>
      <c r="I21" s="5">
        <f>I15</f>
        <v>1075</v>
      </c>
      <c r="L21" s="20">
        <f>I35+I46+I71+I81</f>
        <v>850.32678449999992</v>
      </c>
    </row>
    <row r="22" spans="1:12" x14ac:dyDescent="0.2">
      <c r="A22" s="129" t="s">
        <v>3</v>
      </c>
      <c r="B22" s="373" t="s">
        <v>24</v>
      </c>
      <c r="C22" s="373"/>
      <c r="D22" s="373"/>
      <c r="E22" s="373"/>
      <c r="F22" s="373"/>
      <c r="G22" s="373"/>
      <c r="H22" s="6"/>
      <c r="I22" s="5">
        <v>0</v>
      </c>
      <c r="L22" s="53">
        <f>L21/I28</f>
        <v>0.65916804999999989</v>
      </c>
    </row>
    <row r="23" spans="1:12" x14ac:dyDescent="0.2">
      <c r="A23" s="129" t="s">
        <v>5</v>
      </c>
      <c r="B23" s="373" t="s">
        <v>25</v>
      </c>
      <c r="C23" s="373"/>
      <c r="D23" s="373"/>
      <c r="E23" s="373"/>
      <c r="F23" s="373"/>
      <c r="G23" s="373"/>
      <c r="H23" s="6">
        <v>0.2</v>
      </c>
      <c r="I23" s="5">
        <f>I21*H23</f>
        <v>215</v>
      </c>
    </row>
    <row r="24" spans="1:12" x14ac:dyDescent="0.2">
      <c r="A24" s="129" t="s">
        <v>7</v>
      </c>
      <c r="B24" s="373" t="s">
        <v>26</v>
      </c>
      <c r="C24" s="373"/>
      <c r="D24" s="373"/>
      <c r="E24" s="373"/>
      <c r="F24" s="373"/>
      <c r="G24" s="373"/>
      <c r="H24" s="6"/>
      <c r="I24" s="5">
        <v>0</v>
      </c>
    </row>
    <row r="25" spans="1:12" x14ac:dyDescent="0.2">
      <c r="A25" s="129" t="s">
        <v>27</v>
      </c>
      <c r="B25" s="373" t="s">
        <v>28</v>
      </c>
      <c r="C25" s="373"/>
      <c r="D25" s="373"/>
      <c r="E25" s="373"/>
      <c r="F25" s="373"/>
      <c r="G25" s="373"/>
      <c r="H25" s="6"/>
      <c r="I25" s="5">
        <v>0</v>
      </c>
    </row>
    <row r="26" spans="1:12" x14ac:dyDescent="0.2">
      <c r="A26" s="129" t="s">
        <v>29</v>
      </c>
      <c r="B26" s="373" t="s">
        <v>30</v>
      </c>
      <c r="C26" s="373"/>
      <c r="D26" s="373"/>
      <c r="E26" s="373"/>
      <c r="F26" s="373"/>
      <c r="G26" s="373"/>
      <c r="H26" s="6"/>
      <c r="I26" s="5">
        <v>0</v>
      </c>
    </row>
    <row r="27" spans="1:12" x14ac:dyDescent="0.2">
      <c r="A27" s="129"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1290</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129" t="s">
        <v>21</v>
      </c>
      <c r="I31" s="129" t="s">
        <v>22</v>
      </c>
      <c r="J31" s="48"/>
    </row>
    <row r="32" spans="1:12" x14ac:dyDescent="0.2">
      <c r="A32" s="129" t="s">
        <v>1</v>
      </c>
      <c r="B32" s="373" t="s">
        <v>36</v>
      </c>
      <c r="C32" s="373"/>
      <c r="D32" s="373"/>
      <c r="E32" s="373"/>
      <c r="F32" s="373"/>
      <c r="G32" s="373"/>
      <c r="H32" s="10">
        <v>8.3299999999999999E-2</v>
      </c>
      <c r="I32" s="5">
        <f>$I$28*H32</f>
        <v>107.45699999999999</v>
      </c>
      <c r="J32" s="48"/>
    </row>
    <row r="33" spans="1:11" x14ac:dyDescent="0.2">
      <c r="A33" s="129" t="s">
        <v>3</v>
      </c>
      <c r="B33" s="373" t="s">
        <v>185</v>
      </c>
      <c r="C33" s="373"/>
      <c r="D33" s="373"/>
      <c r="E33" s="373"/>
      <c r="F33" s="373"/>
      <c r="G33" s="373"/>
      <c r="H33" s="11">
        <v>2.7799999999999998E-2</v>
      </c>
      <c r="I33" s="5">
        <f>H33*I28</f>
        <v>35.861999999999995</v>
      </c>
      <c r="J33" s="48"/>
    </row>
    <row r="34" spans="1:11" x14ac:dyDescent="0.2">
      <c r="A34" s="129" t="s">
        <v>132</v>
      </c>
      <c r="B34" s="373" t="s">
        <v>133</v>
      </c>
      <c r="C34" s="373"/>
      <c r="D34" s="373"/>
      <c r="E34" s="373"/>
      <c r="F34" s="373"/>
      <c r="G34" s="373"/>
      <c r="H34" s="11">
        <f>(H32+H33)*H46</f>
        <v>3.9784910000000007E-2</v>
      </c>
      <c r="I34" s="5">
        <f>I28*H34</f>
        <v>51.32253390000001</v>
      </c>
      <c r="J34" s="48"/>
    </row>
    <row r="35" spans="1:11" x14ac:dyDescent="0.2">
      <c r="A35" s="389" t="s">
        <v>37</v>
      </c>
      <c r="B35" s="389"/>
      <c r="C35" s="389"/>
      <c r="D35" s="389"/>
      <c r="E35" s="389"/>
      <c r="F35" s="389"/>
      <c r="G35" s="389"/>
      <c r="H35" s="12">
        <f>TRUNC(SUM(H32:H33),4)</f>
        <v>0.1111</v>
      </c>
      <c r="I35" s="13">
        <f>SUM(I32:I34)</f>
        <v>194.64153390000001</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129" t="s">
        <v>21</v>
      </c>
      <c r="I37" s="129" t="s">
        <v>22</v>
      </c>
      <c r="J37" s="48"/>
      <c r="K37" s="404"/>
    </row>
    <row r="38" spans="1:11" x14ac:dyDescent="0.2">
      <c r="A38" s="129" t="s">
        <v>1</v>
      </c>
      <c r="B38" s="373" t="s">
        <v>39</v>
      </c>
      <c r="C38" s="373"/>
      <c r="D38" s="373"/>
      <c r="E38" s="373"/>
      <c r="F38" s="373"/>
      <c r="G38" s="373"/>
      <c r="H38" s="10">
        <v>0.2</v>
      </c>
      <c r="I38" s="5">
        <f>($I$28)*H38</f>
        <v>258</v>
      </c>
      <c r="J38" s="48"/>
      <c r="K38" s="404"/>
    </row>
    <row r="39" spans="1:11" x14ac:dyDescent="0.2">
      <c r="A39" s="129" t="s">
        <v>3</v>
      </c>
      <c r="B39" s="373" t="s">
        <v>40</v>
      </c>
      <c r="C39" s="373"/>
      <c r="D39" s="373"/>
      <c r="E39" s="373"/>
      <c r="F39" s="373"/>
      <c r="G39" s="373"/>
      <c r="H39" s="10">
        <v>2.5000000000000001E-2</v>
      </c>
      <c r="I39" s="5">
        <f t="shared" ref="I39:I45" si="0">($I$28)*H39</f>
        <v>32.25</v>
      </c>
      <c r="J39" s="48"/>
      <c r="K39" s="404"/>
    </row>
    <row r="40" spans="1:11" x14ac:dyDescent="0.2">
      <c r="A40" s="129" t="s">
        <v>5</v>
      </c>
      <c r="B40" s="373" t="s">
        <v>41</v>
      </c>
      <c r="C40" s="373"/>
      <c r="D40" s="373"/>
      <c r="E40" s="373"/>
      <c r="F40" s="373"/>
      <c r="G40" s="373"/>
      <c r="H40" s="10">
        <v>2.01E-2</v>
      </c>
      <c r="I40" s="5">
        <f t="shared" si="0"/>
        <v>25.928999999999998</v>
      </c>
      <c r="J40" s="48"/>
      <c r="K40" s="404"/>
    </row>
    <row r="41" spans="1:11" x14ac:dyDescent="0.2">
      <c r="A41" s="129" t="s">
        <v>7</v>
      </c>
      <c r="B41" s="373" t="s">
        <v>42</v>
      </c>
      <c r="C41" s="373"/>
      <c r="D41" s="373"/>
      <c r="E41" s="373"/>
      <c r="F41" s="373"/>
      <c r="G41" s="373"/>
      <c r="H41" s="10">
        <v>1.4999999999999999E-2</v>
      </c>
      <c r="I41" s="5">
        <f t="shared" si="0"/>
        <v>19.349999999999998</v>
      </c>
      <c r="J41" s="48"/>
      <c r="K41" s="404"/>
    </row>
    <row r="42" spans="1:11" x14ac:dyDescent="0.2">
      <c r="A42" s="129" t="s">
        <v>27</v>
      </c>
      <c r="B42" s="373" t="s">
        <v>43</v>
      </c>
      <c r="C42" s="373"/>
      <c r="D42" s="373"/>
      <c r="E42" s="373"/>
      <c r="F42" s="373"/>
      <c r="G42" s="373"/>
      <c r="H42" s="10">
        <v>0.01</v>
      </c>
      <c r="I42" s="5">
        <f t="shared" si="0"/>
        <v>12.9</v>
      </c>
      <c r="J42" s="48"/>
      <c r="K42" s="404"/>
    </row>
    <row r="43" spans="1:11" x14ac:dyDescent="0.2">
      <c r="A43" s="129" t="s">
        <v>29</v>
      </c>
      <c r="B43" s="373" t="s">
        <v>44</v>
      </c>
      <c r="C43" s="373"/>
      <c r="D43" s="373"/>
      <c r="E43" s="373"/>
      <c r="F43" s="373"/>
      <c r="G43" s="373"/>
      <c r="H43" s="10">
        <v>6.0000000000000001E-3</v>
      </c>
      <c r="I43" s="5">
        <f t="shared" si="0"/>
        <v>7.74</v>
      </c>
      <c r="J43" s="48"/>
      <c r="K43" s="404"/>
    </row>
    <row r="44" spans="1:11" x14ac:dyDescent="0.2">
      <c r="A44" s="129" t="s">
        <v>31</v>
      </c>
      <c r="B44" s="373" t="s">
        <v>45</v>
      </c>
      <c r="C44" s="373"/>
      <c r="D44" s="373"/>
      <c r="E44" s="373"/>
      <c r="F44" s="373"/>
      <c r="G44" s="373"/>
      <c r="H44" s="10">
        <v>2E-3</v>
      </c>
      <c r="I44" s="5">
        <f t="shared" si="0"/>
        <v>2.58</v>
      </c>
      <c r="J44" s="48"/>
      <c r="K44" s="404"/>
    </row>
    <row r="45" spans="1:11" x14ac:dyDescent="0.2">
      <c r="A45" s="129" t="s">
        <v>46</v>
      </c>
      <c r="B45" s="373" t="s">
        <v>47</v>
      </c>
      <c r="C45" s="373"/>
      <c r="D45" s="373"/>
      <c r="E45" s="373"/>
      <c r="F45" s="373"/>
      <c r="G45" s="373"/>
      <c r="H45" s="10">
        <v>0.08</v>
      </c>
      <c r="I45" s="5">
        <f t="shared" si="0"/>
        <v>103.2</v>
      </c>
      <c r="J45" s="48"/>
      <c r="K45" s="404"/>
    </row>
    <row r="46" spans="1:11" x14ac:dyDescent="0.2">
      <c r="A46" s="389" t="s">
        <v>48</v>
      </c>
      <c r="B46" s="389"/>
      <c r="C46" s="389"/>
      <c r="D46" s="389"/>
      <c r="E46" s="389"/>
      <c r="F46" s="389"/>
      <c r="G46" s="389"/>
      <c r="H46" s="12">
        <f>SUM(H38:H45)</f>
        <v>0.35810000000000003</v>
      </c>
      <c r="I46" s="13">
        <f>(SUM(I38:I45))</f>
        <v>461.94899999999996</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129" t="s">
        <v>22</v>
      </c>
      <c r="J48" s="48"/>
    </row>
    <row r="49" spans="1:10" x14ac:dyDescent="0.2">
      <c r="A49" s="129" t="s">
        <v>1</v>
      </c>
      <c r="B49" s="393" t="s">
        <v>125</v>
      </c>
      <c r="C49" s="393"/>
      <c r="D49" s="393"/>
      <c r="E49" s="393"/>
      <c r="F49" s="393"/>
      <c r="G49" s="393"/>
      <c r="H49" s="55">
        <v>3.65</v>
      </c>
      <c r="I49" s="14">
        <f>(H49*2*22)-(I21*0.06)</f>
        <v>96.1</v>
      </c>
      <c r="J49" s="48"/>
    </row>
    <row r="50" spans="1:10" x14ac:dyDescent="0.2">
      <c r="A50" s="129" t="s">
        <v>3</v>
      </c>
      <c r="B50" s="393" t="s">
        <v>124</v>
      </c>
      <c r="C50" s="393"/>
      <c r="D50" s="393"/>
      <c r="E50" s="393"/>
      <c r="F50" s="393"/>
      <c r="G50" s="393"/>
      <c r="H50" s="55">
        <v>418</v>
      </c>
      <c r="I50" s="15">
        <f>H50*0.8</f>
        <v>334.40000000000003</v>
      </c>
      <c r="J50" s="49"/>
    </row>
    <row r="51" spans="1:10" x14ac:dyDescent="0.2">
      <c r="A51" s="129" t="s">
        <v>5</v>
      </c>
      <c r="B51" s="393" t="s">
        <v>126</v>
      </c>
      <c r="C51" s="393"/>
      <c r="D51" s="393"/>
      <c r="E51" s="393"/>
      <c r="F51" s="393"/>
      <c r="G51" s="393"/>
      <c r="H51" s="55">
        <v>0</v>
      </c>
      <c r="I51" s="14">
        <f>H51</f>
        <v>0</v>
      </c>
      <c r="J51" s="48"/>
    </row>
    <row r="52" spans="1:10" x14ac:dyDescent="0.2">
      <c r="A52" s="129" t="s">
        <v>7</v>
      </c>
      <c r="B52" s="397" t="s">
        <v>127</v>
      </c>
      <c r="C52" s="398"/>
      <c r="D52" s="398"/>
      <c r="E52" s="398"/>
      <c r="F52" s="398"/>
      <c r="G52" s="399"/>
      <c r="H52" s="55">
        <v>0</v>
      </c>
      <c r="I52" s="14">
        <f>H52</f>
        <v>0</v>
      </c>
      <c r="J52" s="48"/>
    </row>
    <row r="53" spans="1:10" x14ac:dyDescent="0.2">
      <c r="A53" s="129"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438.5</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129" t="s">
        <v>22</v>
      </c>
      <c r="J57" s="48"/>
    </row>
    <row r="58" spans="1:10" x14ac:dyDescent="0.2">
      <c r="A58" s="129" t="s">
        <v>54</v>
      </c>
      <c r="B58" s="370" t="s">
        <v>55</v>
      </c>
      <c r="C58" s="370"/>
      <c r="D58" s="370"/>
      <c r="E58" s="370"/>
      <c r="F58" s="370"/>
      <c r="G58" s="370"/>
      <c r="H58" s="370"/>
      <c r="I58" s="16">
        <f>I35</f>
        <v>194.64153390000001</v>
      </c>
      <c r="J58" s="48"/>
    </row>
    <row r="59" spans="1:10" x14ac:dyDescent="0.2">
      <c r="A59" s="129" t="s">
        <v>56</v>
      </c>
      <c r="B59" s="370" t="s">
        <v>57</v>
      </c>
      <c r="C59" s="370"/>
      <c r="D59" s="370"/>
      <c r="E59" s="370"/>
      <c r="F59" s="370"/>
      <c r="G59" s="370"/>
      <c r="H59" s="370"/>
      <c r="I59" s="16">
        <f>I46</f>
        <v>461.94899999999996</v>
      </c>
      <c r="J59" s="48"/>
    </row>
    <row r="60" spans="1:10" x14ac:dyDescent="0.2">
      <c r="A60" s="129" t="s">
        <v>58</v>
      </c>
      <c r="B60" s="370" t="s">
        <v>59</v>
      </c>
      <c r="C60" s="370"/>
      <c r="D60" s="370"/>
      <c r="E60" s="370"/>
      <c r="F60" s="370"/>
      <c r="G60" s="370"/>
      <c r="H60" s="370"/>
      <c r="I60" s="16">
        <f>I54</f>
        <v>438.5</v>
      </c>
      <c r="J60" s="48"/>
    </row>
    <row r="61" spans="1:10" x14ac:dyDescent="0.2">
      <c r="A61" s="389" t="s">
        <v>60</v>
      </c>
      <c r="B61" s="389"/>
      <c r="C61" s="389"/>
      <c r="D61" s="389"/>
      <c r="E61" s="389"/>
      <c r="F61" s="389"/>
      <c r="G61" s="389"/>
      <c r="H61" s="389"/>
      <c r="I61" s="13">
        <f>(SUM(I58:I60))</f>
        <v>1095.0905339000001</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129">
        <v>3</v>
      </c>
      <c r="B64" s="389" t="s">
        <v>62</v>
      </c>
      <c r="C64" s="389"/>
      <c r="D64" s="389"/>
      <c r="E64" s="389"/>
      <c r="F64" s="389"/>
      <c r="G64" s="389"/>
      <c r="H64" s="129" t="s">
        <v>21</v>
      </c>
      <c r="I64" s="129" t="s">
        <v>22</v>
      </c>
      <c r="J64" s="48"/>
    </row>
    <row r="65" spans="1:11" x14ac:dyDescent="0.2">
      <c r="A65" s="129" t="s">
        <v>1</v>
      </c>
      <c r="B65" s="373" t="s">
        <v>63</v>
      </c>
      <c r="C65" s="373"/>
      <c r="D65" s="373"/>
      <c r="E65" s="373"/>
      <c r="F65" s="373"/>
      <c r="G65" s="373"/>
      <c r="H65" s="17">
        <v>4.1999999999999997E-3</v>
      </c>
      <c r="I65" s="16">
        <f>$I$28*H65</f>
        <v>5.4179999999999993</v>
      </c>
      <c r="J65" s="48"/>
    </row>
    <row r="66" spans="1:11" x14ac:dyDescent="0.2">
      <c r="A66" s="129" t="s">
        <v>3</v>
      </c>
      <c r="B66" s="373" t="s">
        <v>64</v>
      </c>
      <c r="C66" s="373"/>
      <c r="D66" s="373"/>
      <c r="E66" s="373"/>
      <c r="F66" s="373"/>
      <c r="G66" s="373"/>
      <c r="H66" s="17">
        <f>H45*H65</f>
        <v>3.3599999999999998E-4</v>
      </c>
      <c r="I66" s="5">
        <f>H66*I28</f>
        <v>0.43343999999999999</v>
      </c>
      <c r="J66" s="48"/>
    </row>
    <row r="67" spans="1:11" x14ac:dyDescent="0.2">
      <c r="A67" s="129" t="s">
        <v>5</v>
      </c>
      <c r="B67" s="373" t="s">
        <v>65</v>
      </c>
      <c r="C67" s="373"/>
      <c r="D67" s="373"/>
      <c r="E67" s="373"/>
      <c r="F67" s="373"/>
      <c r="G67" s="373"/>
      <c r="H67" s="18">
        <v>0.01</v>
      </c>
      <c r="I67" s="5">
        <f>$I$28*H67</f>
        <v>12.9</v>
      </c>
      <c r="J67" s="48"/>
    </row>
    <row r="68" spans="1:11" x14ac:dyDescent="0.2">
      <c r="A68" s="129" t="s">
        <v>7</v>
      </c>
      <c r="B68" s="373" t="s">
        <v>66</v>
      </c>
      <c r="C68" s="373"/>
      <c r="D68" s="373"/>
      <c r="E68" s="373"/>
      <c r="F68" s="373"/>
      <c r="G68" s="373"/>
      <c r="H68" s="46">
        <v>1.9400000000000001E-2</v>
      </c>
      <c r="I68" s="5">
        <f>$I$28*H68</f>
        <v>25.026</v>
      </c>
      <c r="J68" s="48"/>
    </row>
    <row r="69" spans="1:11" x14ac:dyDescent="0.2">
      <c r="A69" s="129" t="s">
        <v>27</v>
      </c>
      <c r="B69" s="373" t="s">
        <v>67</v>
      </c>
      <c r="C69" s="373"/>
      <c r="D69" s="373"/>
      <c r="E69" s="373"/>
      <c r="F69" s="373"/>
      <c r="G69" s="373"/>
      <c r="H69" s="19">
        <f>H46*H68</f>
        <v>6.947140000000001E-3</v>
      </c>
      <c r="I69" s="5">
        <f>$I$28*H69</f>
        <v>8.9618106000000015</v>
      </c>
      <c r="J69" s="48"/>
    </row>
    <row r="70" spans="1:11" x14ac:dyDescent="0.2">
      <c r="A70" s="129" t="s">
        <v>29</v>
      </c>
      <c r="B70" s="373" t="s">
        <v>68</v>
      </c>
      <c r="C70" s="373"/>
      <c r="D70" s="373"/>
      <c r="E70" s="373"/>
      <c r="F70" s="373"/>
      <c r="G70" s="373"/>
      <c r="H70" s="54">
        <v>2.1999999999999999E-2</v>
      </c>
      <c r="I70" s="5">
        <f>$I$28*H70</f>
        <v>28.38</v>
      </c>
      <c r="J70" s="48"/>
      <c r="K70" s="20"/>
    </row>
    <row r="71" spans="1:11" x14ac:dyDescent="0.2">
      <c r="A71" s="389" t="s">
        <v>69</v>
      </c>
      <c r="B71" s="389"/>
      <c r="C71" s="389"/>
      <c r="D71" s="389"/>
      <c r="E71" s="389"/>
      <c r="F71" s="389"/>
      <c r="G71" s="389"/>
      <c r="H71" s="12">
        <f>TRUNC(SUM(H65:H70),4)</f>
        <v>6.2799999999999995E-2</v>
      </c>
      <c r="I71" s="13">
        <f>(SUM(I65:I70))</f>
        <v>81.119250600000001</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129" t="s">
        <v>21</v>
      </c>
      <c r="I74" s="129" t="s">
        <v>22</v>
      </c>
      <c r="J74" s="48"/>
    </row>
    <row r="75" spans="1:11" x14ac:dyDescent="0.2">
      <c r="A75" s="129" t="s">
        <v>1</v>
      </c>
      <c r="B75" s="373" t="s">
        <v>186</v>
      </c>
      <c r="C75" s="373"/>
      <c r="D75" s="373"/>
      <c r="E75" s="373"/>
      <c r="F75" s="373"/>
      <c r="G75" s="373"/>
      <c r="H75" s="148">
        <v>8.3299999999999999E-2</v>
      </c>
      <c r="I75" s="5">
        <f t="shared" ref="I75:I80" si="1">$I$28*H75</f>
        <v>107.45699999999999</v>
      </c>
      <c r="J75" s="48"/>
    </row>
    <row r="76" spans="1:11" x14ac:dyDescent="0.2">
      <c r="A76" s="129" t="s">
        <v>3</v>
      </c>
      <c r="B76" s="373" t="s">
        <v>187</v>
      </c>
      <c r="C76" s="373"/>
      <c r="D76" s="373"/>
      <c r="E76" s="373"/>
      <c r="F76" s="373"/>
      <c r="G76" s="373"/>
      <c r="H76" s="148">
        <v>2.8E-3</v>
      </c>
      <c r="I76" s="16">
        <f t="shared" si="1"/>
        <v>3.6120000000000001</v>
      </c>
      <c r="J76" s="48"/>
    </row>
    <row r="77" spans="1:11" x14ac:dyDescent="0.2">
      <c r="A77" s="129" t="s">
        <v>5</v>
      </c>
      <c r="B77" s="373" t="s">
        <v>188</v>
      </c>
      <c r="C77" s="373"/>
      <c r="D77" s="373"/>
      <c r="E77" s="373"/>
      <c r="F77" s="373"/>
      <c r="G77" s="373"/>
      <c r="H77" s="17">
        <v>2.0000000000000001E-4</v>
      </c>
      <c r="I77" s="16">
        <f t="shared" si="1"/>
        <v>0.25800000000000001</v>
      </c>
      <c r="J77" s="48"/>
    </row>
    <row r="78" spans="1:11" x14ac:dyDescent="0.2">
      <c r="A78" s="129" t="s">
        <v>7</v>
      </c>
      <c r="B78" s="373" t="s">
        <v>189</v>
      </c>
      <c r="C78" s="373"/>
      <c r="D78" s="373"/>
      <c r="E78" s="373"/>
      <c r="F78" s="373"/>
      <c r="G78" s="373"/>
      <c r="H78" s="148">
        <v>2.9999999999999997E-4</v>
      </c>
      <c r="I78" s="16">
        <f t="shared" si="1"/>
        <v>0.38699999999999996</v>
      </c>
      <c r="J78" s="48"/>
    </row>
    <row r="79" spans="1:11" x14ac:dyDescent="0.2">
      <c r="A79" s="129" t="s">
        <v>27</v>
      </c>
      <c r="B79" s="373" t="s">
        <v>190</v>
      </c>
      <c r="C79" s="373"/>
      <c r="D79" s="373"/>
      <c r="E79" s="373"/>
      <c r="F79" s="373"/>
      <c r="G79" s="373"/>
      <c r="H79" s="17">
        <v>6.9999999999999999E-4</v>
      </c>
      <c r="I79" s="16">
        <f t="shared" si="1"/>
        <v>0.90300000000000002</v>
      </c>
      <c r="J79" s="48"/>
    </row>
    <row r="80" spans="1:11" x14ac:dyDescent="0.2">
      <c r="A80" s="129"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112.61699999999999</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129" t="s">
        <v>21</v>
      </c>
      <c r="I83" s="129" t="s">
        <v>22</v>
      </c>
      <c r="J83" s="48"/>
    </row>
    <row r="84" spans="1:10" x14ac:dyDescent="0.2">
      <c r="A84" s="129"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129" t="s">
        <v>22</v>
      </c>
      <c r="J88" s="48"/>
    </row>
    <row r="89" spans="1:10" x14ac:dyDescent="0.2">
      <c r="A89" s="129" t="s">
        <v>77</v>
      </c>
      <c r="B89" s="370" t="s">
        <v>193</v>
      </c>
      <c r="C89" s="370"/>
      <c r="D89" s="370"/>
      <c r="E89" s="370"/>
      <c r="F89" s="370"/>
      <c r="G89" s="370"/>
      <c r="H89" s="370"/>
      <c r="I89" s="16">
        <f>I81</f>
        <v>112.61699999999999</v>
      </c>
      <c r="J89" s="48"/>
    </row>
    <row r="90" spans="1:10" x14ac:dyDescent="0.2">
      <c r="A90" s="129" t="s">
        <v>78</v>
      </c>
      <c r="B90" s="370" t="s">
        <v>194</v>
      </c>
      <c r="C90" s="370"/>
      <c r="D90" s="370"/>
      <c r="E90" s="370"/>
      <c r="F90" s="370"/>
      <c r="G90" s="370"/>
      <c r="H90" s="370"/>
      <c r="I90" s="16">
        <f>I85</f>
        <v>0</v>
      </c>
      <c r="J90" s="48"/>
    </row>
    <row r="91" spans="1:10" x14ac:dyDescent="0.2">
      <c r="A91" s="129" t="s">
        <v>46</v>
      </c>
      <c r="B91" s="370" t="s">
        <v>195</v>
      </c>
      <c r="C91" s="370"/>
      <c r="D91" s="370"/>
      <c r="E91" s="370"/>
      <c r="F91" s="370"/>
      <c r="G91" s="370"/>
      <c r="H91" s="370"/>
      <c r="I91" s="16">
        <f>(H81*H46)*I89</f>
        <v>3.5206472942100002</v>
      </c>
      <c r="J91" s="48"/>
    </row>
    <row r="92" spans="1:10" x14ac:dyDescent="0.2">
      <c r="A92" s="389" t="s">
        <v>79</v>
      </c>
      <c r="B92" s="389"/>
      <c r="C92" s="389"/>
      <c r="D92" s="389"/>
      <c r="E92" s="389"/>
      <c r="F92" s="389"/>
      <c r="G92" s="389"/>
      <c r="H92" s="389"/>
      <c r="I92" s="13">
        <f>(SUM(I89:I90))</f>
        <v>112.61699999999999</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129">
        <v>5</v>
      </c>
      <c r="B95" s="389" t="s">
        <v>81</v>
      </c>
      <c r="C95" s="389"/>
      <c r="D95" s="389"/>
      <c r="E95" s="389"/>
      <c r="F95" s="389"/>
      <c r="G95" s="389"/>
      <c r="H95" s="129"/>
      <c r="I95" s="129" t="s">
        <v>22</v>
      </c>
      <c r="J95" s="48"/>
    </row>
    <row r="96" spans="1:10" x14ac:dyDescent="0.2">
      <c r="A96" s="129" t="s">
        <v>1</v>
      </c>
      <c r="B96" s="393" t="s">
        <v>82</v>
      </c>
      <c r="C96" s="393"/>
      <c r="D96" s="393"/>
      <c r="E96" s="393"/>
      <c r="F96" s="393"/>
      <c r="G96" s="393"/>
      <c r="H96" s="128" t="s">
        <v>50</v>
      </c>
      <c r="I96" s="66">
        <f>UNIFORME!F10</f>
        <v>28.666666666666668</v>
      </c>
      <c r="J96" s="48"/>
    </row>
    <row r="97" spans="1:13" x14ac:dyDescent="0.2">
      <c r="A97" s="129" t="s">
        <v>3</v>
      </c>
      <c r="B97" s="393" t="s">
        <v>83</v>
      </c>
      <c r="C97" s="393"/>
      <c r="D97" s="393"/>
      <c r="E97" s="393"/>
      <c r="F97" s="393"/>
      <c r="G97" s="393"/>
      <c r="H97" s="128" t="s">
        <v>50</v>
      </c>
      <c r="I97" s="16">
        <f>MATERIAL!H104</f>
        <v>1296.4523297491039</v>
      </c>
      <c r="J97" s="48"/>
    </row>
    <row r="98" spans="1:13" x14ac:dyDescent="0.2">
      <c r="A98" s="21" t="s">
        <v>5</v>
      </c>
      <c r="B98" s="393" t="s">
        <v>84</v>
      </c>
      <c r="C98" s="393"/>
      <c r="D98" s="393"/>
      <c r="E98" s="393"/>
      <c r="F98" s="393"/>
      <c r="G98" s="393"/>
      <c r="H98" s="128" t="s">
        <v>50</v>
      </c>
      <c r="I98" s="16">
        <f>MATERIAL!I123</f>
        <v>30.513888888888889</v>
      </c>
      <c r="J98" s="48"/>
    </row>
    <row r="99" spans="1:13" x14ac:dyDescent="0.2">
      <c r="A99" s="21" t="s">
        <v>7</v>
      </c>
      <c r="B99" s="393" t="s">
        <v>435</v>
      </c>
      <c r="C99" s="393"/>
      <c r="D99" s="393"/>
      <c r="E99" s="393"/>
      <c r="F99" s="393"/>
      <c r="G99" s="393"/>
      <c r="H99" s="128" t="s">
        <v>50</v>
      </c>
      <c r="I99" s="16">
        <f>MATERIAL!H59</f>
        <v>20.76595744680851</v>
      </c>
      <c r="J99" s="48"/>
    </row>
    <row r="100" spans="1:13" x14ac:dyDescent="0.2">
      <c r="A100" s="389" t="s">
        <v>85</v>
      </c>
      <c r="B100" s="389"/>
      <c r="C100" s="389"/>
      <c r="D100" s="389"/>
      <c r="E100" s="389"/>
      <c r="F100" s="389"/>
      <c r="G100" s="389"/>
      <c r="H100" s="12" t="s">
        <v>50</v>
      </c>
      <c r="I100" s="13">
        <f>(SUM(I96:I99))</f>
        <v>1376.398842751468</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129">
        <v>6</v>
      </c>
      <c r="B103" s="389" t="s">
        <v>87</v>
      </c>
      <c r="C103" s="389"/>
      <c r="D103" s="389"/>
      <c r="E103" s="389"/>
      <c r="F103" s="389"/>
      <c r="G103" s="389"/>
      <c r="H103" s="129" t="s">
        <v>21</v>
      </c>
      <c r="I103" s="129" t="s">
        <v>22</v>
      </c>
      <c r="J103" s="48"/>
      <c r="K103" s="52">
        <f>'ANEXO VII'!M57</f>
        <v>197.15170301310718</v>
      </c>
    </row>
    <row r="104" spans="1:13" x14ac:dyDescent="0.2">
      <c r="A104" s="129" t="s">
        <v>1</v>
      </c>
      <c r="B104" s="373" t="s">
        <v>88</v>
      </c>
      <c r="C104" s="373"/>
      <c r="D104" s="373"/>
      <c r="E104" s="373"/>
      <c r="F104" s="373"/>
      <c r="G104" s="373"/>
      <c r="H104" s="22">
        <v>5.21E-2</v>
      </c>
      <c r="I104" s="16">
        <f>I120*H104</f>
        <v>206.06725517980152</v>
      </c>
      <c r="J104" s="48"/>
      <c r="M104" s="52"/>
    </row>
    <row r="105" spans="1:13" x14ac:dyDescent="0.2">
      <c r="A105" s="129" t="s">
        <v>3</v>
      </c>
      <c r="B105" s="373" t="s">
        <v>89</v>
      </c>
      <c r="C105" s="373"/>
      <c r="D105" s="373"/>
      <c r="E105" s="373"/>
      <c r="F105" s="373"/>
      <c r="G105" s="373"/>
      <c r="H105" s="22">
        <v>0.05</v>
      </c>
      <c r="I105" s="16">
        <f>(I120+I104)*H105</f>
        <v>208.06464412156353</v>
      </c>
      <c r="J105" s="48"/>
    </row>
    <row r="106" spans="1:13" x14ac:dyDescent="0.2">
      <c r="A106" s="129" t="s">
        <v>5</v>
      </c>
      <c r="B106" s="392" t="s">
        <v>90</v>
      </c>
      <c r="C106" s="392"/>
      <c r="D106" s="392"/>
      <c r="E106" s="392"/>
      <c r="F106" s="392"/>
      <c r="G106" s="392"/>
      <c r="H106" s="23">
        <f>H107+H108+H109</f>
        <v>8.6499999999999994E-2</v>
      </c>
      <c r="I106" s="24"/>
      <c r="J106" s="48"/>
    </row>
    <row r="107" spans="1:13" x14ac:dyDescent="0.2">
      <c r="A107" s="129" t="s">
        <v>91</v>
      </c>
      <c r="B107" s="373" t="s">
        <v>92</v>
      </c>
      <c r="C107" s="373"/>
      <c r="D107" s="373"/>
      <c r="E107" s="373"/>
      <c r="F107" s="373"/>
      <c r="G107" s="373"/>
      <c r="H107" s="25">
        <v>6.4999999999999997E-3</v>
      </c>
      <c r="I107" s="16">
        <f>K110*H107</f>
        <v>31.090119236555463</v>
      </c>
      <c r="J107" s="48"/>
      <c r="K107" s="65">
        <f>1-H106</f>
        <v>0.91349999999999998</v>
      </c>
    </row>
    <row r="108" spans="1:13" x14ac:dyDescent="0.2">
      <c r="A108" s="129" t="s">
        <v>93</v>
      </c>
      <c r="B108" s="373" t="s">
        <v>94</v>
      </c>
      <c r="C108" s="373"/>
      <c r="D108" s="373"/>
      <c r="E108" s="373"/>
      <c r="F108" s="373"/>
      <c r="G108" s="373"/>
      <c r="H108" s="25">
        <v>0.03</v>
      </c>
      <c r="I108" s="16">
        <f>K110*H108</f>
        <v>143.49285801487136</v>
      </c>
      <c r="J108" s="48"/>
      <c r="K108" s="45">
        <f>K107/1</f>
        <v>0.91349999999999998</v>
      </c>
    </row>
    <row r="109" spans="1:13" x14ac:dyDescent="0.2">
      <c r="A109" s="129" t="s">
        <v>95</v>
      </c>
      <c r="B109" s="373" t="s">
        <v>96</v>
      </c>
      <c r="C109" s="373"/>
      <c r="D109" s="373"/>
      <c r="E109" s="373"/>
      <c r="F109" s="373"/>
      <c r="G109" s="373"/>
      <c r="H109" s="26">
        <v>0.05</v>
      </c>
      <c r="I109" s="16">
        <f>K110*H109</f>
        <v>239.15476335811897</v>
      </c>
      <c r="J109" s="48"/>
      <c r="K109" s="20">
        <f>I120+I104+I105</f>
        <v>4369.3575265528334</v>
      </c>
    </row>
    <row r="110" spans="1:13" x14ac:dyDescent="0.2">
      <c r="A110" s="389" t="s">
        <v>97</v>
      </c>
      <c r="B110" s="389"/>
      <c r="C110" s="389"/>
      <c r="D110" s="389"/>
      <c r="E110" s="389"/>
      <c r="F110" s="389"/>
      <c r="G110" s="389"/>
      <c r="H110" s="25">
        <f>SUM(H104+H105+H106)</f>
        <v>0.18859999999999999</v>
      </c>
      <c r="I110" s="13">
        <f>(SUM(I104:I109))</f>
        <v>827.86963991091079</v>
      </c>
      <c r="J110" s="48"/>
      <c r="K110" s="20">
        <f>K109/K108</f>
        <v>4783.0952671623791</v>
      </c>
    </row>
    <row r="111" spans="1:13" x14ac:dyDescent="0.2">
      <c r="A111" s="131"/>
      <c r="B111" s="390"/>
      <c r="C111" s="390"/>
      <c r="D111" s="390"/>
      <c r="E111" s="390"/>
      <c r="F111" s="390"/>
      <c r="G111" s="390"/>
      <c r="H111" s="390"/>
      <c r="I111" s="390"/>
    </row>
    <row r="112" spans="1:13" x14ac:dyDescent="0.2">
      <c r="A112" s="131"/>
      <c r="B112" s="131"/>
      <c r="C112" s="131"/>
      <c r="D112" s="131"/>
      <c r="E112" s="131"/>
      <c r="F112" s="131"/>
      <c r="G112" s="131"/>
      <c r="H112" s="131"/>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129" t="s">
        <v>22</v>
      </c>
    </row>
    <row r="115" spans="1:12" x14ac:dyDescent="0.2">
      <c r="A115" s="128" t="s">
        <v>1</v>
      </c>
      <c r="B115" s="373" t="str">
        <f>A19</f>
        <v>MÓDULO 1 - COMPOSIÇÃO DA REMUNERAÇÃO</v>
      </c>
      <c r="C115" s="373"/>
      <c r="D115" s="373"/>
      <c r="E115" s="373"/>
      <c r="F115" s="373"/>
      <c r="G115" s="373"/>
      <c r="H115" s="373"/>
      <c r="I115" s="16">
        <f>I28</f>
        <v>1290</v>
      </c>
      <c r="K115" s="20"/>
      <c r="L115" s="53"/>
    </row>
    <row r="116" spans="1:12" x14ac:dyDescent="0.2">
      <c r="A116" s="128" t="s">
        <v>3</v>
      </c>
      <c r="B116" s="373" t="str">
        <f>A30</f>
        <v>MÓDULO 2 – ENCARGOS E BENEFÍCIOS ANUAIS, MENSAIS E DIÁRIOS</v>
      </c>
      <c r="C116" s="373"/>
      <c r="D116" s="373"/>
      <c r="E116" s="373"/>
      <c r="F116" s="373"/>
      <c r="G116" s="373"/>
      <c r="H116" s="373"/>
      <c r="I116" s="16">
        <f>I61</f>
        <v>1095.0905339000001</v>
      </c>
    </row>
    <row r="117" spans="1:12" x14ac:dyDescent="0.2">
      <c r="A117" s="128" t="s">
        <v>5</v>
      </c>
      <c r="B117" s="373" t="str">
        <f>A63</f>
        <v>MÓDULO 3 – PROVISÃO PARA RESCISÃO</v>
      </c>
      <c r="C117" s="373"/>
      <c r="D117" s="373"/>
      <c r="E117" s="373"/>
      <c r="F117" s="373"/>
      <c r="G117" s="373"/>
      <c r="H117" s="373"/>
      <c r="I117" s="16">
        <f>I71</f>
        <v>81.119250600000001</v>
      </c>
    </row>
    <row r="118" spans="1:12" x14ac:dyDescent="0.2">
      <c r="A118" s="128" t="s">
        <v>7</v>
      </c>
      <c r="B118" s="373" t="str">
        <f>A73</f>
        <v>MÓDULO 4 – CUSTO DE REPOSIÇÃO DO PROFISSIONAL AUSENTE</v>
      </c>
      <c r="C118" s="373"/>
      <c r="D118" s="373"/>
      <c r="E118" s="373"/>
      <c r="F118" s="373"/>
      <c r="G118" s="373"/>
      <c r="H118" s="373"/>
      <c r="I118" s="16">
        <f>I92</f>
        <v>112.61699999999999</v>
      </c>
    </row>
    <row r="119" spans="1:12" x14ac:dyDescent="0.2">
      <c r="A119" s="128" t="s">
        <v>27</v>
      </c>
      <c r="B119" s="373" t="str">
        <f>A94</f>
        <v>MÓDULO 5 – INSUMOS DIVERSOS</v>
      </c>
      <c r="C119" s="373"/>
      <c r="D119" s="373"/>
      <c r="E119" s="373"/>
      <c r="F119" s="373"/>
      <c r="G119" s="373"/>
      <c r="H119" s="373"/>
      <c r="I119" s="16">
        <f>I100</f>
        <v>1376.398842751468</v>
      </c>
    </row>
    <row r="120" spans="1:12" x14ac:dyDescent="0.2">
      <c r="A120" s="129"/>
      <c r="B120" s="389" t="s">
        <v>100</v>
      </c>
      <c r="C120" s="389"/>
      <c r="D120" s="389"/>
      <c r="E120" s="389"/>
      <c r="F120" s="389"/>
      <c r="G120" s="389"/>
      <c r="H120" s="389"/>
      <c r="I120" s="13">
        <f>(SUM(I115:I119))</f>
        <v>3955.2256272514687</v>
      </c>
    </row>
    <row r="121" spans="1:12" x14ac:dyDescent="0.2">
      <c r="A121" s="128" t="s">
        <v>29</v>
      </c>
      <c r="B121" s="373" t="str">
        <f>A102</f>
        <v>MÓDULO 6 – CUSTOS INDIRETOS, TRIBUTOS E LUCRO</v>
      </c>
      <c r="C121" s="373"/>
      <c r="D121" s="373"/>
      <c r="E121" s="373"/>
      <c r="F121" s="373"/>
      <c r="G121" s="373"/>
      <c r="H121" s="373"/>
      <c r="I121" s="5">
        <f>I110</f>
        <v>827.86963991091079</v>
      </c>
    </row>
    <row r="122" spans="1:12" x14ac:dyDescent="0.2">
      <c r="A122" s="389" t="s">
        <v>101</v>
      </c>
      <c r="B122" s="389"/>
      <c r="C122" s="389"/>
      <c r="D122" s="389"/>
      <c r="E122" s="389"/>
      <c r="F122" s="389"/>
      <c r="G122" s="389"/>
      <c r="H122" s="389"/>
      <c r="I122" s="13">
        <f>(SUM(I120:I121))</f>
        <v>4783.09526716238</v>
      </c>
      <c r="K122" s="51"/>
    </row>
    <row r="123" spans="1:12" x14ac:dyDescent="0.2">
      <c r="I123" s="20"/>
      <c r="K123" s="51"/>
    </row>
    <row r="124" spans="1:12" hidden="1" x14ac:dyDescent="0.2">
      <c r="A124" s="131"/>
      <c r="B124" s="379" t="s">
        <v>102</v>
      </c>
      <c r="C124" s="379"/>
      <c r="D124" s="379"/>
      <c r="E124" s="379"/>
      <c r="F124" s="379"/>
      <c r="G124" s="379"/>
      <c r="H124" s="8"/>
      <c r="I124" s="8"/>
      <c r="K124" s="51"/>
    </row>
    <row r="125" spans="1:12" ht="40.5" hidden="1" customHeight="1" x14ac:dyDescent="0.2">
      <c r="A125" s="385" t="s">
        <v>103</v>
      </c>
      <c r="B125" s="385"/>
      <c r="C125" s="385" t="s">
        <v>104</v>
      </c>
      <c r="D125" s="385"/>
      <c r="E125" s="385" t="s">
        <v>105</v>
      </c>
      <c r="F125" s="385"/>
      <c r="G125" s="28" t="s">
        <v>106</v>
      </c>
      <c r="H125" s="132" t="s">
        <v>107</v>
      </c>
      <c r="I125" s="134"/>
      <c r="K125" s="51"/>
    </row>
    <row r="126" spans="1:12" hidden="1" x14ac:dyDescent="0.2">
      <c r="A126" s="386" t="s">
        <v>108</v>
      </c>
      <c r="B126" s="386"/>
      <c r="C126" s="387" t="s">
        <v>109</v>
      </c>
      <c r="D126" s="387"/>
      <c r="E126" s="388"/>
      <c r="F126" s="388"/>
      <c r="G126" s="29" t="s">
        <v>109</v>
      </c>
      <c r="H126" s="30"/>
      <c r="I126" s="31"/>
      <c r="K126" s="51"/>
    </row>
    <row r="127" spans="1:12" hidden="1" x14ac:dyDescent="0.2">
      <c r="A127" s="381" t="s">
        <v>110</v>
      </c>
      <c r="B127" s="381"/>
      <c r="C127" s="382" t="s">
        <v>109</v>
      </c>
      <c r="D127" s="382"/>
      <c r="E127" s="383"/>
      <c r="F127" s="383"/>
      <c r="G127" s="32" t="s">
        <v>109</v>
      </c>
      <c r="H127" s="33"/>
      <c r="I127" s="34"/>
      <c r="K127" s="51"/>
    </row>
    <row r="128" spans="1:12" hidden="1" x14ac:dyDescent="0.2">
      <c r="A128" s="381" t="s">
        <v>111</v>
      </c>
      <c r="B128" s="381"/>
      <c r="C128" s="382" t="s">
        <v>109</v>
      </c>
      <c r="D128" s="382"/>
      <c r="E128" s="383"/>
      <c r="F128" s="383"/>
      <c r="G128" s="32" t="s">
        <v>109</v>
      </c>
      <c r="H128" s="33"/>
      <c r="I128" s="34"/>
      <c r="K128" s="51"/>
    </row>
    <row r="129" spans="1:11" hidden="1" x14ac:dyDescent="0.2">
      <c r="A129" s="381" t="s">
        <v>112</v>
      </c>
      <c r="B129" s="381"/>
      <c r="C129" s="382" t="s">
        <v>109</v>
      </c>
      <c r="D129" s="382"/>
      <c r="E129" s="383"/>
      <c r="F129" s="383"/>
      <c r="G129" s="32" t="s">
        <v>109</v>
      </c>
      <c r="H129" s="33"/>
      <c r="I129" s="34"/>
      <c r="K129" s="51"/>
    </row>
    <row r="130" spans="1:11" hidden="1" x14ac:dyDescent="0.2">
      <c r="A130" s="384"/>
      <c r="B130" s="384"/>
      <c r="C130" s="383"/>
      <c r="D130" s="383"/>
      <c r="E130" s="383"/>
      <c r="F130" s="383"/>
      <c r="G130" s="35"/>
      <c r="H130" s="36"/>
      <c r="I130" s="34"/>
      <c r="K130" s="51"/>
    </row>
    <row r="131" spans="1:11" ht="13.5" hidden="1" thickBot="1" x14ac:dyDescent="0.25">
      <c r="A131" s="376"/>
      <c r="B131" s="376"/>
      <c r="C131" s="377"/>
      <c r="D131" s="377"/>
      <c r="E131" s="377"/>
      <c r="F131" s="377"/>
      <c r="G131" s="37"/>
      <c r="H131" s="38"/>
      <c r="I131" s="39"/>
      <c r="K131" s="51"/>
    </row>
    <row r="132" spans="1:11" ht="13.5" hidden="1" thickBot="1" x14ac:dyDescent="0.25">
      <c r="A132" s="378" t="s">
        <v>113</v>
      </c>
      <c r="B132" s="378"/>
      <c r="C132" s="378"/>
      <c r="D132" s="378"/>
      <c r="E132" s="378"/>
      <c r="F132" s="378"/>
      <c r="G132" s="378"/>
      <c r="H132" s="378"/>
      <c r="I132" s="40"/>
      <c r="K132" s="51"/>
    </row>
    <row r="133" spans="1:11" x14ac:dyDescent="0.2">
      <c r="I133" s="20"/>
    </row>
    <row r="134" spans="1:11" hidden="1" x14ac:dyDescent="0.2">
      <c r="A134" s="131"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133"/>
      <c r="B136" s="371" t="s">
        <v>117</v>
      </c>
      <c r="C136" s="371"/>
      <c r="D136" s="371"/>
      <c r="E136" s="371"/>
      <c r="F136" s="371"/>
      <c r="G136" s="371"/>
      <c r="H136" s="371"/>
      <c r="I136" s="134" t="s">
        <v>22</v>
      </c>
    </row>
    <row r="137" spans="1:11" hidden="1" x14ac:dyDescent="0.2">
      <c r="A137" s="41" t="s">
        <v>1</v>
      </c>
      <c r="B137" s="372" t="s">
        <v>118</v>
      </c>
      <c r="C137" s="372"/>
      <c r="D137" s="372"/>
      <c r="E137" s="372"/>
      <c r="F137" s="372"/>
      <c r="G137" s="372"/>
      <c r="H137" s="372"/>
      <c r="I137" s="42">
        <f>I107</f>
        <v>31.090119236555463</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827.86963991091079</v>
      </c>
    </row>
    <row r="140" spans="1:11" ht="13.5" hidden="1" thickBot="1" x14ac:dyDescent="0.25">
      <c r="A140" s="375" t="s">
        <v>121</v>
      </c>
      <c r="B140" s="375"/>
      <c r="C140" s="375"/>
      <c r="D140" s="375"/>
      <c r="E140" s="375"/>
      <c r="F140" s="375"/>
      <c r="G140" s="375"/>
      <c r="H140" s="375"/>
      <c r="I140" s="40" t="e">
        <f>SUM(I137:I139)</f>
        <v>#REF!</v>
      </c>
    </row>
    <row r="141" spans="1:11" hidden="1" x14ac:dyDescent="0.2">
      <c r="A141" s="131" t="s">
        <v>122</v>
      </c>
      <c r="B141" s="45" t="s">
        <v>123</v>
      </c>
    </row>
    <row r="143" spans="1:11" ht="13.5" thickBot="1" x14ac:dyDescent="0.25">
      <c r="A143" s="432" t="s">
        <v>172</v>
      </c>
      <c r="B143" s="432"/>
      <c r="C143" s="432"/>
      <c r="D143" s="432"/>
      <c r="E143" s="432"/>
      <c r="F143" s="432"/>
      <c r="G143" s="432"/>
      <c r="J143" s="45"/>
    </row>
    <row r="144" spans="1:11" ht="63.75" x14ac:dyDescent="0.2">
      <c r="A144" s="104" t="s">
        <v>173</v>
      </c>
      <c r="B144" s="105" t="s">
        <v>174</v>
      </c>
      <c r="C144" s="106" t="s">
        <v>175</v>
      </c>
      <c r="D144" s="105" t="s">
        <v>176</v>
      </c>
      <c r="E144" s="105" t="s">
        <v>177</v>
      </c>
      <c r="F144" s="107" t="s">
        <v>178</v>
      </c>
      <c r="G144" s="107" t="s">
        <v>179</v>
      </c>
      <c r="J144" s="45"/>
    </row>
    <row r="145" spans="1:10" ht="15" x14ac:dyDescent="0.25">
      <c r="A145" s="108"/>
      <c r="B145" s="109"/>
      <c r="C145" s="110"/>
      <c r="D145" s="110"/>
      <c r="E145" s="110"/>
      <c r="F145" s="111"/>
      <c r="G145" s="112"/>
      <c r="J145" s="45"/>
    </row>
    <row r="146" spans="1:10" ht="14.25" x14ac:dyDescent="0.2">
      <c r="A146" s="113" t="s">
        <v>180</v>
      </c>
      <c r="B146" s="114">
        <f>2/(34*340)</f>
        <v>1.7301038062283736E-4</v>
      </c>
      <c r="C146" s="110">
        <v>16</v>
      </c>
      <c r="D146" s="114">
        <f>1/188.86</f>
        <v>5.2949274594938046E-3</v>
      </c>
      <c r="E146" s="114">
        <f>B146*C146*D146</f>
        <v>1.4657238642197382E-5</v>
      </c>
      <c r="F146" s="115">
        <v>0</v>
      </c>
      <c r="G146" s="116">
        <f>E146*F146</f>
        <v>0</v>
      </c>
      <c r="J146" s="45"/>
    </row>
    <row r="147" spans="1:10" ht="15" thickBot="1" x14ac:dyDescent="0.25">
      <c r="A147" s="117" t="s">
        <v>140</v>
      </c>
      <c r="B147" s="118">
        <f>1/340</f>
        <v>2.9411764705882353E-3</v>
      </c>
      <c r="C147" s="118">
        <v>16</v>
      </c>
      <c r="D147" s="118">
        <f>1/188.86</f>
        <v>5.2949274594938046E-3</v>
      </c>
      <c r="E147" s="118">
        <f>B147*C147*D147</f>
        <v>2.4917305691735553E-4</v>
      </c>
      <c r="F147" s="119">
        <f>I122</f>
        <v>4783.09526716238</v>
      </c>
      <c r="G147" s="120">
        <f>E147*F147</f>
        <v>1.1918184692457856</v>
      </c>
      <c r="J147" s="45"/>
    </row>
    <row r="148" spans="1:10" ht="15" thickBot="1" x14ac:dyDescent="0.25">
      <c r="A148" s="429" t="s">
        <v>181</v>
      </c>
      <c r="B148" s="430"/>
      <c r="C148" s="430"/>
      <c r="D148" s="430"/>
      <c r="E148" s="430"/>
      <c r="F148" s="431"/>
      <c r="G148" s="121">
        <f>ROUND(SUM(G146:G147),2)</f>
        <v>1.19</v>
      </c>
      <c r="J148" s="45"/>
    </row>
    <row r="149" spans="1:10" ht="14.25" x14ac:dyDescent="0.2">
      <c r="A149" s="122"/>
      <c r="B149" s="122"/>
      <c r="C149" s="122"/>
      <c r="D149" s="123"/>
      <c r="E149" s="124"/>
      <c r="F149" s="124"/>
      <c r="G149" s="124"/>
      <c r="J149" s="45"/>
    </row>
  </sheetData>
  <mergeCells count="173">
    <mergeCell ref="A148:F148"/>
    <mergeCell ref="B136:H136"/>
    <mergeCell ref="B137:H137"/>
    <mergeCell ref="B138:H138"/>
    <mergeCell ref="B139:H139"/>
    <mergeCell ref="A140:H140"/>
    <mergeCell ref="A143:G143"/>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B117:H117"/>
    <mergeCell ref="B118:H118"/>
    <mergeCell ref="B119:H119"/>
    <mergeCell ref="B120:H120"/>
    <mergeCell ref="B121:H121"/>
    <mergeCell ref="A122:H122"/>
    <mergeCell ref="A110:G110"/>
    <mergeCell ref="B111:I111"/>
    <mergeCell ref="A113:I113"/>
    <mergeCell ref="A114:H114"/>
    <mergeCell ref="B115:H115"/>
    <mergeCell ref="B116:H116"/>
    <mergeCell ref="B104:G104"/>
    <mergeCell ref="B105:G105"/>
    <mergeCell ref="B106:G106"/>
    <mergeCell ref="B107:G107"/>
    <mergeCell ref="B108:G108"/>
    <mergeCell ref="B109:G109"/>
    <mergeCell ref="B98:G98"/>
    <mergeCell ref="B99:G99"/>
    <mergeCell ref="A100:G100"/>
    <mergeCell ref="A101:I101"/>
    <mergeCell ref="A102:I102"/>
    <mergeCell ref="B103:G103"/>
    <mergeCell ref="A92:H92"/>
    <mergeCell ref="A93:I93"/>
    <mergeCell ref="A94:I94"/>
    <mergeCell ref="B95:G95"/>
    <mergeCell ref="B96:G96"/>
    <mergeCell ref="B97:G97"/>
    <mergeCell ref="A86:I86"/>
    <mergeCell ref="A87:I87"/>
    <mergeCell ref="A88:H88"/>
    <mergeCell ref="B89:H89"/>
    <mergeCell ref="B90:H90"/>
    <mergeCell ref="B91:H91"/>
    <mergeCell ref="B80:G80"/>
    <mergeCell ref="A81:G81"/>
    <mergeCell ref="A82:I82"/>
    <mergeCell ref="A83:G83"/>
    <mergeCell ref="B84:G84"/>
    <mergeCell ref="A85:G85"/>
    <mergeCell ref="A74:G74"/>
    <mergeCell ref="B75:G75"/>
    <mergeCell ref="B76:G76"/>
    <mergeCell ref="B77:G77"/>
    <mergeCell ref="B78:G78"/>
    <mergeCell ref="B79:G79"/>
    <mergeCell ref="B68:G68"/>
    <mergeCell ref="B69:G69"/>
    <mergeCell ref="B70:G70"/>
    <mergeCell ref="A71:G71"/>
    <mergeCell ref="A72:I72"/>
    <mergeCell ref="A73:I73"/>
    <mergeCell ref="A62:I62"/>
    <mergeCell ref="A63:I63"/>
    <mergeCell ref="B64:G64"/>
    <mergeCell ref="B65:G65"/>
    <mergeCell ref="B66:G66"/>
    <mergeCell ref="B67:G67"/>
    <mergeCell ref="A56:I56"/>
    <mergeCell ref="A57:H57"/>
    <mergeCell ref="B58:H58"/>
    <mergeCell ref="B59:H59"/>
    <mergeCell ref="B60:H60"/>
    <mergeCell ref="A61:H61"/>
    <mergeCell ref="B50:G50"/>
    <mergeCell ref="B51:G51"/>
    <mergeCell ref="B52:G52"/>
    <mergeCell ref="B53:G53"/>
    <mergeCell ref="A54:H54"/>
    <mergeCell ref="A55:I55"/>
    <mergeCell ref="B44:G44"/>
    <mergeCell ref="B45:G45"/>
    <mergeCell ref="A46:G46"/>
    <mergeCell ref="A47:I47"/>
    <mergeCell ref="A48:G48"/>
    <mergeCell ref="B49:G49"/>
    <mergeCell ref="A35:G35"/>
    <mergeCell ref="A36:I36"/>
    <mergeCell ref="A37:G37"/>
    <mergeCell ref="K37:K45"/>
    <mergeCell ref="B38:G38"/>
    <mergeCell ref="B39:G39"/>
    <mergeCell ref="B40:G40"/>
    <mergeCell ref="B41:G41"/>
    <mergeCell ref="B42:G42"/>
    <mergeCell ref="B43:G43"/>
    <mergeCell ref="A28:H28"/>
    <mergeCell ref="A30:I30"/>
    <mergeCell ref="A31:G31"/>
    <mergeCell ref="B32:G32"/>
    <mergeCell ref="B33:G33"/>
    <mergeCell ref="B34:G34"/>
    <mergeCell ref="B22:G22"/>
    <mergeCell ref="B23:G23"/>
    <mergeCell ref="B24:G24"/>
    <mergeCell ref="B25:G25"/>
    <mergeCell ref="B26:G26"/>
    <mergeCell ref="B27:G27"/>
    <mergeCell ref="B16:H16"/>
    <mergeCell ref="B17:H17"/>
    <mergeCell ref="A18:I18"/>
    <mergeCell ref="A19:I19"/>
    <mergeCell ref="B20:G20"/>
    <mergeCell ref="B21:G21"/>
    <mergeCell ref="A12:I12"/>
    <mergeCell ref="L12:Q12"/>
    <mergeCell ref="R12:S12"/>
    <mergeCell ref="B13:H13"/>
    <mergeCell ref="B14:H14"/>
    <mergeCell ref="B15:H15"/>
    <mergeCell ref="A10:B10"/>
    <mergeCell ref="C10:D10"/>
    <mergeCell ref="E10:I10"/>
    <mergeCell ref="L10:Q10"/>
    <mergeCell ref="R10:S10"/>
    <mergeCell ref="L11:Q11"/>
    <mergeCell ref="R11:S11"/>
    <mergeCell ref="B6:H6"/>
    <mergeCell ref="K6:S6"/>
    <mergeCell ref="K7:S7"/>
    <mergeCell ref="A8:I8"/>
    <mergeCell ref="K8:S8"/>
    <mergeCell ref="A9:B9"/>
    <mergeCell ref="C9:D9"/>
    <mergeCell ref="E9:I9"/>
    <mergeCell ref="L9:Q9"/>
    <mergeCell ref="R9:S9"/>
    <mergeCell ref="B4:H4"/>
    <mergeCell ref="L4:M4"/>
    <mergeCell ref="N4:Q4"/>
    <mergeCell ref="R4:S4"/>
    <mergeCell ref="B5:H5"/>
    <mergeCell ref="K5:S5"/>
    <mergeCell ref="A2:I2"/>
    <mergeCell ref="K2:S2"/>
    <mergeCell ref="B3:H3"/>
    <mergeCell ref="L3:M3"/>
    <mergeCell ref="N3:Q3"/>
    <mergeCell ref="R3:S3"/>
  </mergeCells>
  <pageMargins left="0.25" right="0.25" top="0.75" bottom="0.75" header="0.3" footer="0.3"/>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E6332-1816-4C47-AEA4-C437D40F4FC8}">
  <dimension ref="A2:S148"/>
  <sheetViews>
    <sheetView tabSelected="1" topLeftCell="A70" zoomScale="118" zoomScaleNormal="118" workbookViewId="0">
      <selection activeCell="I104" sqref="I104"/>
    </sheetView>
  </sheetViews>
  <sheetFormatPr defaultColWidth="9.140625" defaultRowHeight="12.75" x14ac:dyDescent="0.2"/>
  <cols>
    <col min="1" max="3" width="9.140625" style="45"/>
    <col min="4" max="4" width="24" style="45" bestFit="1" customWidth="1"/>
    <col min="5"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128" t="s">
        <v>1</v>
      </c>
      <c r="B3" s="373" t="s">
        <v>2</v>
      </c>
      <c r="C3" s="373"/>
      <c r="D3" s="373"/>
      <c r="E3" s="373"/>
      <c r="F3" s="373"/>
      <c r="G3" s="373"/>
      <c r="H3" s="373"/>
      <c r="I3" s="1">
        <v>44182</v>
      </c>
      <c r="K3" s="127"/>
      <c r="L3" s="410"/>
      <c r="M3" s="410"/>
      <c r="N3" s="410"/>
      <c r="O3" s="410"/>
      <c r="P3" s="410"/>
      <c r="Q3" s="410"/>
      <c r="R3" s="416"/>
      <c r="S3" s="416"/>
    </row>
    <row r="4" spans="1:19" x14ac:dyDescent="0.2">
      <c r="A4" s="128" t="s">
        <v>3</v>
      </c>
      <c r="B4" s="373" t="s">
        <v>4</v>
      </c>
      <c r="C4" s="373"/>
      <c r="D4" s="373"/>
      <c r="E4" s="373"/>
      <c r="F4" s="373"/>
      <c r="G4" s="373"/>
      <c r="H4" s="373"/>
      <c r="I4" s="128" t="s">
        <v>183</v>
      </c>
      <c r="K4" s="127"/>
      <c r="L4" s="407"/>
      <c r="M4" s="407"/>
      <c r="N4" s="410"/>
      <c r="O4" s="410"/>
      <c r="P4" s="410"/>
      <c r="Q4" s="410"/>
      <c r="R4" s="410"/>
      <c r="S4" s="410"/>
    </row>
    <row r="5" spans="1:19" x14ac:dyDescent="0.2">
      <c r="A5" s="128" t="s">
        <v>5</v>
      </c>
      <c r="B5" s="373" t="s">
        <v>6</v>
      </c>
      <c r="C5" s="373"/>
      <c r="D5" s="373"/>
      <c r="E5" s="373"/>
      <c r="F5" s="373"/>
      <c r="G5" s="373"/>
      <c r="H5" s="373"/>
      <c r="I5" s="128">
        <v>2020</v>
      </c>
      <c r="K5" s="414"/>
      <c r="L5" s="414"/>
      <c r="M5" s="414"/>
      <c r="N5" s="414"/>
      <c r="O5" s="414"/>
      <c r="P5" s="414"/>
      <c r="Q5" s="414"/>
      <c r="R5" s="414"/>
      <c r="S5" s="414"/>
    </row>
    <row r="6" spans="1:19" x14ac:dyDescent="0.2">
      <c r="A6" s="128" t="s">
        <v>7</v>
      </c>
      <c r="B6" s="373" t="s">
        <v>8</v>
      </c>
      <c r="C6" s="373"/>
      <c r="D6" s="373"/>
      <c r="E6" s="373"/>
      <c r="F6" s="373"/>
      <c r="G6" s="373"/>
      <c r="H6" s="373"/>
      <c r="I6" s="128">
        <v>12</v>
      </c>
      <c r="K6" s="414"/>
      <c r="L6" s="414"/>
      <c r="M6" s="414"/>
      <c r="N6" s="414"/>
      <c r="O6" s="414"/>
      <c r="P6" s="414"/>
      <c r="Q6" s="414"/>
      <c r="R6" s="414"/>
      <c r="S6" s="414"/>
    </row>
    <row r="7" spans="1:19" x14ac:dyDescent="0.2">
      <c r="A7" s="131"/>
      <c r="B7" s="130"/>
      <c r="C7" s="130"/>
      <c r="D7" s="130"/>
      <c r="E7" s="130"/>
      <c r="F7" s="130"/>
      <c r="G7" s="130"/>
      <c r="H7" s="131"/>
      <c r="I7" s="131"/>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127"/>
      <c r="L9" s="406"/>
      <c r="M9" s="406"/>
      <c r="N9" s="406"/>
      <c r="O9" s="406"/>
      <c r="P9" s="406"/>
      <c r="Q9" s="406"/>
      <c r="R9" s="410"/>
      <c r="S9" s="410"/>
    </row>
    <row r="10" spans="1:19" ht="27" customHeight="1" x14ac:dyDescent="0.2">
      <c r="A10" s="411" t="s">
        <v>488</v>
      </c>
      <c r="B10" s="411"/>
      <c r="C10" s="370"/>
      <c r="D10" s="370"/>
      <c r="E10" s="412">
        <v>1</v>
      </c>
      <c r="F10" s="412"/>
      <c r="G10" s="412"/>
      <c r="H10" s="412"/>
      <c r="I10" s="412"/>
      <c r="K10" s="126"/>
      <c r="L10" s="408"/>
      <c r="M10" s="408"/>
      <c r="N10" s="408"/>
      <c r="O10" s="408"/>
      <c r="P10" s="408"/>
      <c r="Q10" s="408"/>
      <c r="R10" s="413"/>
      <c r="S10" s="413"/>
    </row>
    <row r="11" spans="1:19" x14ac:dyDescent="0.2">
      <c r="A11" s="131"/>
      <c r="B11" s="130"/>
      <c r="C11" s="130"/>
      <c r="D11" s="130"/>
      <c r="E11" s="130"/>
      <c r="F11" s="130"/>
      <c r="G11" s="130"/>
      <c r="H11" s="131"/>
      <c r="I11" s="131"/>
      <c r="K11" s="127"/>
      <c r="L11" s="406"/>
      <c r="M11" s="406"/>
      <c r="N11" s="406"/>
      <c r="O11" s="406"/>
      <c r="P11" s="406"/>
      <c r="Q11" s="406"/>
      <c r="R11" s="407"/>
      <c r="S11" s="407"/>
    </row>
    <row r="12" spans="1:19" x14ac:dyDescent="0.2">
      <c r="A12" s="395" t="s">
        <v>13</v>
      </c>
      <c r="B12" s="395"/>
      <c r="C12" s="395"/>
      <c r="D12" s="395"/>
      <c r="E12" s="395"/>
      <c r="F12" s="395"/>
      <c r="G12" s="395"/>
      <c r="H12" s="395"/>
      <c r="I12" s="395"/>
      <c r="K12" s="126"/>
      <c r="L12" s="408"/>
      <c r="M12" s="408"/>
      <c r="N12" s="408"/>
      <c r="O12" s="408"/>
      <c r="P12" s="408"/>
      <c r="Q12" s="408"/>
      <c r="R12" s="409"/>
      <c r="S12" s="409"/>
    </row>
    <row r="13" spans="1:19" x14ac:dyDescent="0.2">
      <c r="A13" s="128">
        <v>1</v>
      </c>
      <c r="B13" s="373" t="s">
        <v>14</v>
      </c>
      <c r="C13" s="373"/>
      <c r="D13" s="373"/>
      <c r="E13" s="373"/>
      <c r="F13" s="373"/>
      <c r="G13" s="373"/>
      <c r="H13" s="373"/>
      <c r="I13" s="50" t="s">
        <v>184</v>
      </c>
      <c r="K13" s="2"/>
      <c r="L13" s="2"/>
      <c r="M13" s="2"/>
      <c r="N13" s="2"/>
      <c r="O13" s="2"/>
      <c r="P13" s="2"/>
      <c r="Q13" s="2"/>
      <c r="R13" s="2"/>
      <c r="S13" s="2"/>
    </row>
    <row r="14" spans="1:19" x14ac:dyDescent="0.2">
      <c r="A14" s="128">
        <v>2</v>
      </c>
      <c r="B14" s="373" t="s">
        <v>15</v>
      </c>
      <c r="C14" s="373"/>
      <c r="D14" s="373"/>
      <c r="E14" s="373"/>
      <c r="F14" s="373"/>
      <c r="G14" s="373"/>
      <c r="H14" s="373"/>
      <c r="I14" s="128"/>
    </row>
    <row r="15" spans="1:19" x14ac:dyDescent="0.2">
      <c r="A15" s="128">
        <v>3</v>
      </c>
      <c r="B15" s="373" t="s">
        <v>16</v>
      </c>
      <c r="C15" s="373"/>
      <c r="D15" s="373"/>
      <c r="E15" s="373"/>
      <c r="F15" s="373"/>
      <c r="G15" s="373"/>
      <c r="H15" s="373"/>
      <c r="I15" s="3">
        <v>1266</v>
      </c>
    </row>
    <row r="16" spans="1:19" x14ac:dyDescent="0.2">
      <c r="A16" s="128">
        <v>4</v>
      </c>
      <c r="B16" s="373" t="s">
        <v>17</v>
      </c>
      <c r="C16" s="373"/>
      <c r="D16" s="373"/>
      <c r="E16" s="373"/>
      <c r="F16" s="373"/>
      <c r="G16" s="373"/>
      <c r="H16" s="373"/>
      <c r="I16" s="1" t="str">
        <f>A10</f>
        <v>JARDINEIRO</v>
      </c>
    </row>
    <row r="17" spans="1:12" x14ac:dyDescent="0.2">
      <c r="A17" s="128">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129">
        <v>1</v>
      </c>
      <c r="B20" s="389" t="s">
        <v>20</v>
      </c>
      <c r="C20" s="389"/>
      <c r="D20" s="389"/>
      <c r="E20" s="389"/>
      <c r="F20" s="389"/>
      <c r="G20" s="389"/>
      <c r="H20" s="129" t="s">
        <v>21</v>
      </c>
      <c r="I20" s="129" t="s">
        <v>22</v>
      </c>
    </row>
    <row r="21" spans="1:12" x14ac:dyDescent="0.2">
      <c r="A21" s="129" t="s">
        <v>1</v>
      </c>
      <c r="B21" s="373" t="s">
        <v>23</v>
      </c>
      <c r="C21" s="373"/>
      <c r="D21" s="373"/>
      <c r="E21" s="373"/>
      <c r="F21" s="373"/>
      <c r="G21" s="373"/>
      <c r="H21" s="4"/>
      <c r="I21" s="5">
        <f>I15</f>
        <v>1266</v>
      </c>
      <c r="L21" s="20">
        <f>I35+I46+I71+I81</f>
        <v>834.50675130000002</v>
      </c>
    </row>
    <row r="22" spans="1:12" x14ac:dyDescent="0.2">
      <c r="A22" s="129" t="s">
        <v>3</v>
      </c>
      <c r="B22" s="373" t="s">
        <v>24</v>
      </c>
      <c r="C22" s="373"/>
      <c r="D22" s="373"/>
      <c r="E22" s="373"/>
      <c r="F22" s="373"/>
      <c r="G22" s="373"/>
      <c r="H22" s="6"/>
      <c r="I22" s="5">
        <v>0</v>
      </c>
      <c r="L22" s="53">
        <f>L21/I28</f>
        <v>0.65916805000000001</v>
      </c>
    </row>
    <row r="23" spans="1:12" x14ac:dyDescent="0.2">
      <c r="A23" s="129" t="s">
        <v>5</v>
      </c>
      <c r="B23" s="373" t="s">
        <v>25</v>
      </c>
      <c r="C23" s="373"/>
      <c r="D23" s="373"/>
      <c r="E23" s="373"/>
      <c r="F23" s="373"/>
      <c r="G23" s="373"/>
      <c r="H23" s="6">
        <v>0</v>
      </c>
      <c r="I23" s="5">
        <f>I21*H23</f>
        <v>0</v>
      </c>
    </row>
    <row r="24" spans="1:12" x14ac:dyDescent="0.2">
      <c r="A24" s="129" t="s">
        <v>7</v>
      </c>
      <c r="B24" s="373" t="s">
        <v>26</v>
      </c>
      <c r="C24" s="373"/>
      <c r="D24" s="373"/>
      <c r="E24" s="373"/>
      <c r="F24" s="373"/>
      <c r="G24" s="373"/>
      <c r="H24" s="6"/>
      <c r="I24" s="5">
        <v>0</v>
      </c>
    </row>
    <row r="25" spans="1:12" x14ac:dyDescent="0.2">
      <c r="A25" s="129" t="s">
        <v>27</v>
      </c>
      <c r="B25" s="373" t="s">
        <v>28</v>
      </c>
      <c r="C25" s="373"/>
      <c r="D25" s="373"/>
      <c r="E25" s="373"/>
      <c r="F25" s="373"/>
      <c r="G25" s="373"/>
      <c r="H25" s="6"/>
      <c r="I25" s="5">
        <v>0</v>
      </c>
    </row>
    <row r="26" spans="1:12" x14ac:dyDescent="0.2">
      <c r="A26" s="129" t="s">
        <v>29</v>
      </c>
      <c r="B26" s="373" t="s">
        <v>30</v>
      </c>
      <c r="C26" s="373"/>
      <c r="D26" s="373"/>
      <c r="E26" s="373"/>
      <c r="F26" s="373"/>
      <c r="G26" s="373"/>
      <c r="H26" s="6"/>
      <c r="I26" s="5">
        <v>0</v>
      </c>
    </row>
    <row r="27" spans="1:12" x14ac:dyDescent="0.2">
      <c r="A27" s="129"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1266</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129" t="s">
        <v>21</v>
      </c>
      <c r="I31" s="129" t="s">
        <v>22</v>
      </c>
      <c r="J31" s="48"/>
    </row>
    <row r="32" spans="1:12" x14ac:dyDescent="0.2">
      <c r="A32" s="129" t="s">
        <v>1</v>
      </c>
      <c r="B32" s="373" t="s">
        <v>36</v>
      </c>
      <c r="C32" s="373"/>
      <c r="D32" s="373"/>
      <c r="E32" s="373"/>
      <c r="F32" s="373"/>
      <c r="G32" s="373"/>
      <c r="H32" s="10">
        <v>8.3299999999999999E-2</v>
      </c>
      <c r="I32" s="5">
        <f>$I$28*H32</f>
        <v>105.45779999999999</v>
      </c>
      <c r="J32" s="48"/>
    </row>
    <row r="33" spans="1:11" x14ac:dyDescent="0.2">
      <c r="A33" s="129" t="s">
        <v>3</v>
      </c>
      <c r="B33" s="373" t="s">
        <v>185</v>
      </c>
      <c r="C33" s="373"/>
      <c r="D33" s="373"/>
      <c r="E33" s="373"/>
      <c r="F33" s="373"/>
      <c r="G33" s="373"/>
      <c r="H33" s="11">
        <v>2.7799999999999998E-2</v>
      </c>
      <c r="I33" s="5">
        <f>H33*I28</f>
        <v>35.194800000000001</v>
      </c>
      <c r="J33" s="48"/>
    </row>
    <row r="34" spans="1:11" x14ac:dyDescent="0.2">
      <c r="A34" s="129" t="s">
        <v>132</v>
      </c>
      <c r="B34" s="373" t="s">
        <v>133</v>
      </c>
      <c r="C34" s="373"/>
      <c r="D34" s="373"/>
      <c r="E34" s="373"/>
      <c r="F34" s="373"/>
      <c r="G34" s="373"/>
      <c r="H34" s="11">
        <f>(H32+H33)*H46</f>
        <v>3.9784910000000007E-2</v>
      </c>
      <c r="I34" s="5">
        <f>I28*H34</f>
        <v>50.367696060000007</v>
      </c>
      <c r="J34" s="48"/>
    </row>
    <row r="35" spans="1:11" x14ac:dyDescent="0.2">
      <c r="A35" s="389" t="s">
        <v>37</v>
      </c>
      <c r="B35" s="389"/>
      <c r="C35" s="389"/>
      <c r="D35" s="389"/>
      <c r="E35" s="389"/>
      <c r="F35" s="389"/>
      <c r="G35" s="389"/>
      <c r="H35" s="12">
        <f>TRUNC(SUM(H32:H33),4)</f>
        <v>0.1111</v>
      </c>
      <c r="I35" s="13">
        <f>SUM(I32:I34)</f>
        <v>191.02029606000002</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129" t="s">
        <v>21</v>
      </c>
      <c r="I37" s="129" t="s">
        <v>22</v>
      </c>
      <c r="J37" s="48"/>
      <c r="K37" s="404"/>
    </row>
    <row r="38" spans="1:11" x14ac:dyDescent="0.2">
      <c r="A38" s="129" t="s">
        <v>1</v>
      </c>
      <c r="B38" s="373" t="s">
        <v>39</v>
      </c>
      <c r="C38" s="373"/>
      <c r="D38" s="373"/>
      <c r="E38" s="373"/>
      <c r="F38" s="373"/>
      <c r="G38" s="373"/>
      <c r="H38" s="10">
        <v>0.2</v>
      </c>
      <c r="I38" s="5">
        <f>($I$28)*H38</f>
        <v>253.20000000000002</v>
      </c>
      <c r="J38" s="48"/>
      <c r="K38" s="404"/>
    </row>
    <row r="39" spans="1:11" x14ac:dyDescent="0.2">
      <c r="A39" s="129" t="s">
        <v>3</v>
      </c>
      <c r="B39" s="373" t="s">
        <v>40</v>
      </c>
      <c r="C39" s="373"/>
      <c r="D39" s="373"/>
      <c r="E39" s="373"/>
      <c r="F39" s="373"/>
      <c r="G39" s="373"/>
      <c r="H39" s="10">
        <v>2.5000000000000001E-2</v>
      </c>
      <c r="I39" s="5">
        <f t="shared" ref="I39:I45" si="0">($I$28)*H39</f>
        <v>31.650000000000002</v>
      </c>
      <c r="J39" s="48"/>
      <c r="K39" s="404"/>
    </row>
    <row r="40" spans="1:11" x14ac:dyDescent="0.2">
      <c r="A40" s="129" t="s">
        <v>5</v>
      </c>
      <c r="B40" s="373" t="s">
        <v>41</v>
      </c>
      <c r="C40" s="373"/>
      <c r="D40" s="373"/>
      <c r="E40" s="373"/>
      <c r="F40" s="373"/>
      <c r="G40" s="373"/>
      <c r="H40" s="10">
        <v>2.01E-2</v>
      </c>
      <c r="I40" s="5">
        <f t="shared" si="0"/>
        <v>25.4466</v>
      </c>
      <c r="J40" s="48"/>
      <c r="K40" s="404"/>
    </row>
    <row r="41" spans="1:11" x14ac:dyDescent="0.2">
      <c r="A41" s="129" t="s">
        <v>7</v>
      </c>
      <c r="B41" s="373" t="s">
        <v>42</v>
      </c>
      <c r="C41" s="373"/>
      <c r="D41" s="373"/>
      <c r="E41" s="373"/>
      <c r="F41" s="373"/>
      <c r="G41" s="373"/>
      <c r="H41" s="10">
        <v>1.4999999999999999E-2</v>
      </c>
      <c r="I41" s="5">
        <f t="shared" si="0"/>
        <v>18.989999999999998</v>
      </c>
      <c r="J41" s="48"/>
      <c r="K41" s="404"/>
    </row>
    <row r="42" spans="1:11" x14ac:dyDescent="0.2">
      <c r="A42" s="129" t="s">
        <v>27</v>
      </c>
      <c r="B42" s="373" t="s">
        <v>43</v>
      </c>
      <c r="C42" s="373"/>
      <c r="D42" s="373"/>
      <c r="E42" s="373"/>
      <c r="F42" s="373"/>
      <c r="G42" s="373"/>
      <c r="H42" s="10">
        <v>0.01</v>
      </c>
      <c r="I42" s="5">
        <f t="shared" si="0"/>
        <v>12.66</v>
      </c>
      <c r="J42" s="48"/>
      <c r="K42" s="404"/>
    </row>
    <row r="43" spans="1:11" x14ac:dyDescent="0.2">
      <c r="A43" s="129" t="s">
        <v>29</v>
      </c>
      <c r="B43" s="373" t="s">
        <v>44</v>
      </c>
      <c r="C43" s="373"/>
      <c r="D43" s="373"/>
      <c r="E43" s="373"/>
      <c r="F43" s="373"/>
      <c r="G43" s="373"/>
      <c r="H43" s="10">
        <v>6.0000000000000001E-3</v>
      </c>
      <c r="I43" s="5">
        <f t="shared" si="0"/>
        <v>7.5960000000000001</v>
      </c>
      <c r="J43" s="48"/>
      <c r="K43" s="404"/>
    </row>
    <row r="44" spans="1:11" x14ac:dyDescent="0.2">
      <c r="A44" s="129" t="s">
        <v>31</v>
      </c>
      <c r="B44" s="373" t="s">
        <v>45</v>
      </c>
      <c r="C44" s="373"/>
      <c r="D44" s="373"/>
      <c r="E44" s="373"/>
      <c r="F44" s="373"/>
      <c r="G44" s="373"/>
      <c r="H44" s="10">
        <v>2E-3</v>
      </c>
      <c r="I44" s="5">
        <f t="shared" si="0"/>
        <v>2.532</v>
      </c>
      <c r="J44" s="48"/>
      <c r="K44" s="404"/>
    </row>
    <row r="45" spans="1:11" x14ac:dyDescent="0.2">
      <c r="A45" s="129" t="s">
        <v>46</v>
      </c>
      <c r="B45" s="373" t="s">
        <v>47</v>
      </c>
      <c r="C45" s="373"/>
      <c r="D45" s="373"/>
      <c r="E45" s="373"/>
      <c r="F45" s="373"/>
      <c r="G45" s="373"/>
      <c r="H45" s="10">
        <v>0.08</v>
      </c>
      <c r="I45" s="5">
        <f t="shared" si="0"/>
        <v>101.28</v>
      </c>
      <c r="J45" s="48"/>
      <c r="K45" s="404"/>
    </row>
    <row r="46" spans="1:11" x14ac:dyDescent="0.2">
      <c r="A46" s="389" t="s">
        <v>48</v>
      </c>
      <c r="B46" s="389"/>
      <c r="C46" s="389"/>
      <c r="D46" s="389"/>
      <c r="E46" s="389"/>
      <c r="F46" s="389"/>
      <c r="G46" s="389"/>
      <c r="H46" s="12">
        <f>SUM(H38:H45)</f>
        <v>0.35810000000000003</v>
      </c>
      <c r="I46" s="13">
        <f>(SUM(I38:I45))</f>
        <v>453.3546</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129" t="s">
        <v>22</v>
      </c>
      <c r="J48" s="48"/>
    </row>
    <row r="49" spans="1:10" x14ac:dyDescent="0.2">
      <c r="A49" s="129" t="s">
        <v>1</v>
      </c>
      <c r="B49" s="393" t="s">
        <v>125</v>
      </c>
      <c r="C49" s="393"/>
      <c r="D49" s="393"/>
      <c r="E49" s="393"/>
      <c r="F49" s="393"/>
      <c r="G49" s="393"/>
      <c r="H49" s="55">
        <v>3.65</v>
      </c>
      <c r="I49" s="14">
        <f>(H49*2*22)-(I21*0.06)</f>
        <v>84.64</v>
      </c>
      <c r="J49" s="48"/>
    </row>
    <row r="50" spans="1:10" x14ac:dyDescent="0.2">
      <c r="A50" s="129" t="s">
        <v>3</v>
      </c>
      <c r="B50" s="393" t="s">
        <v>124</v>
      </c>
      <c r="C50" s="393"/>
      <c r="D50" s="393"/>
      <c r="E50" s="393"/>
      <c r="F50" s="393"/>
      <c r="G50" s="393"/>
      <c r="H50" s="55">
        <v>418</v>
      </c>
      <c r="I50" s="15">
        <f>H50*0.8</f>
        <v>334.40000000000003</v>
      </c>
      <c r="J50" s="49"/>
    </row>
    <row r="51" spans="1:10" x14ac:dyDescent="0.2">
      <c r="A51" s="129" t="s">
        <v>5</v>
      </c>
      <c r="B51" s="393" t="s">
        <v>126</v>
      </c>
      <c r="C51" s="393"/>
      <c r="D51" s="393"/>
      <c r="E51" s="393"/>
      <c r="F51" s="393"/>
      <c r="G51" s="393"/>
      <c r="H51" s="55">
        <v>0</v>
      </c>
      <c r="I51" s="14">
        <f>H51</f>
        <v>0</v>
      </c>
      <c r="J51" s="48"/>
    </row>
    <row r="52" spans="1:10" x14ac:dyDescent="0.2">
      <c r="A52" s="129" t="s">
        <v>7</v>
      </c>
      <c r="B52" s="397" t="s">
        <v>127</v>
      </c>
      <c r="C52" s="398"/>
      <c r="D52" s="398"/>
      <c r="E52" s="398"/>
      <c r="F52" s="398"/>
      <c r="G52" s="399"/>
      <c r="H52" s="55">
        <v>0</v>
      </c>
      <c r="I52" s="14">
        <f>H52</f>
        <v>0</v>
      </c>
      <c r="J52" s="48"/>
    </row>
    <row r="53" spans="1:10" x14ac:dyDescent="0.2">
      <c r="A53" s="129"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427.04</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129" t="s">
        <v>22</v>
      </c>
      <c r="J57" s="48"/>
    </row>
    <row r="58" spans="1:10" x14ac:dyDescent="0.2">
      <c r="A58" s="129" t="s">
        <v>54</v>
      </c>
      <c r="B58" s="370" t="s">
        <v>55</v>
      </c>
      <c r="C58" s="370"/>
      <c r="D58" s="370"/>
      <c r="E58" s="370"/>
      <c r="F58" s="370"/>
      <c r="G58" s="370"/>
      <c r="H58" s="370"/>
      <c r="I58" s="16">
        <f>I35</f>
        <v>191.02029606000002</v>
      </c>
      <c r="J58" s="48"/>
    </row>
    <row r="59" spans="1:10" x14ac:dyDescent="0.2">
      <c r="A59" s="129" t="s">
        <v>56</v>
      </c>
      <c r="B59" s="370" t="s">
        <v>57</v>
      </c>
      <c r="C59" s="370"/>
      <c r="D59" s="370"/>
      <c r="E59" s="370"/>
      <c r="F59" s="370"/>
      <c r="G59" s="370"/>
      <c r="H59" s="370"/>
      <c r="I59" s="16">
        <f>I46</f>
        <v>453.3546</v>
      </c>
      <c r="J59" s="48"/>
    </row>
    <row r="60" spans="1:10" x14ac:dyDescent="0.2">
      <c r="A60" s="129" t="s">
        <v>58</v>
      </c>
      <c r="B60" s="370" t="s">
        <v>59</v>
      </c>
      <c r="C60" s="370"/>
      <c r="D60" s="370"/>
      <c r="E60" s="370"/>
      <c r="F60" s="370"/>
      <c r="G60" s="370"/>
      <c r="H60" s="370"/>
      <c r="I60" s="16">
        <f>I54</f>
        <v>427.04</v>
      </c>
      <c r="J60" s="48"/>
    </row>
    <row r="61" spans="1:10" x14ac:dyDescent="0.2">
      <c r="A61" s="389" t="s">
        <v>60</v>
      </c>
      <c r="B61" s="389"/>
      <c r="C61" s="389"/>
      <c r="D61" s="389"/>
      <c r="E61" s="389"/>
      <c r="F61" s="389"/>
      <c r="G61" s="389"/>
      <c r="H61" s="389"/>
      <c r="I61" s="13">
        <f>(SUM(I58:I60))</f>
        <v>1071.41489606</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129">
        <v>3</v>
      </c>
      <c r="B64" s="389" t="s">
        <v>62</v>
      </c>
      <c r="C64" s="389"/>
      <c r="D64" s="389"/>
      <c r="E64" s="389"/>
      <c r="F64" s="389"/>
      <c r="G64" s="389"/>
      <c r="H64" s="129" t="s">
        <v>21</v>
      </c>
      <c r="I64" s="129" t="s">
        <v>22</v>
      </c>
      <c r="J64" s="48"/>
    </row>
    <row r="65" spans="1:11" x14ac:dyDescent="0.2">
      <c r="A65" s="129" t="s">
        <v>1</v>
      </c>
      <c r="B65" s="373" t="s">
        <v>63</v>
      </c>
      <c r="C65" s="373"/>
      <c r="D65" s="373"/>
      <c r="E65" s="373"/>
      <c r="F65" s="373"/>
      <c r="G65" s="373"/>
      <c r="H65" s="17">
        <v>4.1999999999999997E-3</v>
      </c>
      <c r="I65" s="16">
        <f>$I$28*H65</f>
        <v>5.3171999999999997</v>
      </c>
      <c r="J65" s="48"/>
    </row>
    <row r="66" spans="1:11" x14ac:dyDescent="0.2">
      <c r="A66" s="129" t="s">
        <v>3</v>
      </c>
      <c r="B66" s="373" t="s">
        <v>64</v>
      </c>
      <c r="C66" s="373"/>
      <c r="D66" s="373"/>
      <c r="E66" s="373"/>
      <c r="F66" s="373"/>
      <c r="G66" s="373"/>
      <c r="H66" s="17">
        <f>H45*H65</f>
        <v>3.3599999999999998E-4</v>
      </c>
      <c r="I66" s="5">
        <f>H66*I28</f>
        <v>0.42537599999999998</v>
      </c>
      <c r="J66" s="48"/>
    </row>
    <row r="67" spans="1:11" x14ac:dyDescent="0.2">
      <c r="A67" s="129" t="s">
        <v>5</v>
      </c>
      <c r="B67" s="373" t="s">
        <v>65</v>
      </c>
      <c r="C67" s="373"/>
      <c r="D67" s="373"/>
      <c r="E67" s="373"/>
      <c r="F67" s="373"/>
      <c r="G67" s="373"/>
      <c r="H67" s="18">
        <v>0.01</v>
      </c>
      <c r="I67" s="5">
        <f>$I$28*H67</f>
        <v>12.66</v>
      </c>
      <c r="J67" s="48"/>
    </row>
    <row r="68" spans="1:11" x14ac:dyDescent="0.2">
      <c r="A68" s="129" t="s">
        <v>7</v>
      </c>
      <c r="B68" s="373" t="s">
        <v>66</v>
      </c>
      <c r="C68" s="373"/>
      <c r="D68" s="373"/>
      <c r="E68" s="373"/>
      <c r="F68" s="373"/>
      <c r="G68" s="373"/>
      <c r="H68" s="46">
        <v>1.9400000000000001E-2</v>
      </c>
      <c r="I68" s="5">
        <f>$I$28*H68</f>
        <v>24.560400000000001</v>
      </c>
      <c r="J68" s="48"/>
    </row>
    <row r="69" spans="1:11" x14ac:dyDescent="0.2">
      <c r="A69" s="129" t="s">
        <v>27</v>
      </c>
      <c r="B69" s="373" t="s">
        <v>67</v>
      </c>
      <c r="C69" s="373"/>
      <c r="D69" s="373"/>
      <c r="E69" s="373"/>
      <c r="F69" s="373"/>
      <c r="G69" s="373"/>
      <c r="H69" s="19">
        <f>H46*H68</f>
        <v>6.947140000000001E-3</v>
      </c>
      <c r="I69" s="5">
        <f>$I$28*H69</f>
        <v>8.7950792400000015</v>
      </c>
      <c r="J69" s="48"/>
    </row>
    <row r="70" spans="1:11" x14ac:dyDescent="0.2">
      <c r="A70" s="129" t="s">
        <v>29</v>
      </c>
      <c r="B70" s="373" t="s">
        <v>68</v>
      </c>
      <c r="C70" s="373"/>
      <c r="D70" s="373"/>
      <c r="E70" s="373"/>
      <c r="F70" s="373"/>
      <c r="G70" s="373"/>
      <c r="H70" s="54">
        <v>2.1999999999999999E-2</v>
      </c>
      <c r="I70" s="5">
        <f>$I$28*H70</f>
        <v>27.851999999999997</v>
      </c>
      <c r="J70" s="48"/>
      <c r="K70" s="20"/>
    </row>
    <row r="71" spans="1:11" x14ac:dyDescent="0.2">
      <c r="A71" s="389" t="s">
        <v>69</v>
      </c>
      <c r="B71" s="389"/>
      <c r="C71" s="389"/>
      <c r="D71" s="389"/>
      <c r="E71" s="389"/>
      <c r="F71" s="389"/>
      <c r="G71" s="389"/>
      <c r="H71" s="12">
        <f>TRUNC(SUM(H65:H70),4)</f>
        <v>6.2799999999999995E-2</v>
      </c>
      <c r="I71" s="13">
        <f>(SUM(I65:I70))</f>
        <v>79.610055239999994</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129" t="s">
        <v>21</v>
      </c>
      <c r="I74" s="129" t="s">
        <v>22</v>
      </c>
      <c r="J74" s="48"/>
    </row>
    <row r="75" spans="1:11" x14ac:dyDescent="0.2">
      <c r="A75" s="129" t="s">
        <v>1</v>
      </c>
      <c r="B75" s="373" t="s">
        <v>186</v>
      </c>
      <c r="C75" s="373"/>
      <c r="D75" s="373"/>
      <c r="E75" s="373"/>
      <c r="F75" s="373"/>
      <c r="G75" s="373"/>
      <c r="H75" s="148">
        <v>8.3299999999999999E-2</v>
      </c>
      <c r="I75" s="5">
        <f t="shared" ref="I75:I80" si="1">$I$28*H75</f>
        <v>105.45779999999999</v>
      </c>
      <c r="J75" s="48"/>
    </row>
    <row r="76" spans="1:11" x14ac:dyDescent="0.2">
      <c r="A76" s="129" t="s">
        <v>3</v>
      </c>
      <c r="B76" s="373" t="s">
        <v>187</v>
      </c>
      <c r="C76" s="373"/>
      <c r="D76" s="373"/>
      <c r="E76" s="373"/>
      <c r="F76" s="373"/>
      <c r="G76" s="373"/>
      <c r="H76" s="148">
        <v>2.8E-3</v>
      </c>
      <c r="I76" s="16">
        <f t="shared" si="1"/>
        <v>3.5448</v>
      </c>
      <c r="J76" s="48"/>
    </row>
    <row r="77" spans="1:11" x14ac:dyDescent="0.2">
      <c r="A77" s="129" t="s">
        <v>5</v>
      </c>
      <c r="B77" s="373" t="s">
        <v>188</v>
      </c>
      <c r="C77" s="373"/>
      <c r="D77" s="373"/>
      <c r="E77" s="373"/>
      <c r="F77" s="373"/>
      <c r="G77" s="373"/>
      <c r="H77" s="17">
        <v>2.0000000000000001E-4</v>
      </c>
      <c r="I77" s="16">
        <f t="shared" si="1"/>
        <v>0.25320000000000004</v>
      </c>
      <c r="J77" s="48"/>
    </row>
    <row r="78" spans="1:11" x14ac:dyDescent="0.2">
      <c r="A78" s="129" t="s">
        <v>7</v>
      </c>
      <c r="B78" s="373" t="s">
        <v>189</v>
      </c>
      <c r="C78" s="373"/>
      <c r="D78" s="373"/>
      <c r="E78" s="373"/>
      <c r="F78" s="373"/>
      <c r="G78" s="373"/>
      <c r="H78" s="148">
        <v>2.9999999999999997E-4</v>
      </c>
      <c r="I78" s="16">
        <f t="shared" si="1"/>
        <v>0.37979999999999997</v>
      </c>
      <c r="J78" s="48"/>
    </row>
    <row r="79" spans="1:11" x14ac:dyDescent="0.2">
      <c r="A79" s="129" t="s">
        <v>27</v>
      </c>
      <c r="B79" s="373" t="s">
        <v>190</v>
      </c>
      <c r="C79" s="373"/>
      <c r="D79" s="373"/>
      <c r="E79" s="373"/>
      <c r="F79" s="373"/>
      <c r="G79" s="373"/>
      <c r="H79" s="17">
        <v>6.9999999999999999E-4</v>
      </c>
      <c r="I79" s="16">
        <f t="shared" si="1"/>
        <v>0.88619999999999999</v>
      </c>
      <c r="J79" s="48"/>
    </row>
    <row r="80" spans="1:11" x14ac:dyDescent="0.2">
      <c r="A80" s="129"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110.5218</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129" t="s">
        <v>21</v>
      </c>
      <c r="I83" s="129" t="s">
        <v>22</v>
      </c>
      <c r="J83" s="48"/>
    </row>
    <row r="84" spans="1:10" x14ac:dyDescent="0.2">
      <c r="A84" s="129"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129" t="s">
        <v>22</v>
      </c>
      <c r="J88" s="48"/>
    </row>
    <row r="89" spans="1:10" x14ac:dyDescent="0.2">
      <c r="A89" s="129" t="s">
        <v>77</v>
      </c>
      <c r="B89" s="370" t="s">
        <v>193</v>
      </c>
      <c r="C89" s="370"/>
      <c r="D89" s="370"/>
      <c r="E89" s="370"/>
      <c r="F89" s="370"/>
      <c r="G89" s="370"/>
      <c r="H89" s="370"/>
      <c r="I89" s="16">
        <f>I81</f>
        <v>110.5218</v>
      </c>
      <c r="J89" s="48"/>
    </row>
    <row r="90" spans="1:10" x14ac:dyDescent="0.2">
      <c r="A90" s="129" t="s">
        <v>78</v>
      </c>
      <c r="B90" s="370" t="s">
        <v>194</v>
      </c>
      <c r="C90" s="370"/>
      <c r="D90" s="370"/>
      <c r="E90" s="370"/>
      <c r="F90" s="370"/>
      <c r="G90" s="370"/>
      <c r="H90" s="370"/>
      <c r="I90" s="16">
        <f>I85</f>
        <v>0</v>
      </c>
      <c r="J90" s="48"/>
    </row>
    <row r="91" spans="1:10" x14ac:dyDescent="0.2">
      <c r="A91" s="129" t="s">
        <v>46</v>
      </c>
      <c r="B91" s="370" t="s">
        <v>195</v>
      </c>
      <c r="C91" s="370"/>
      <c r="D91" s="370"/>
      <c r="E91" s="370"/>
      <c r="F91" s="370"/>
      <c r="G91" s="370"/>
      <c r="H91" s="370"/>
      <c r="I91" s="16">
        <f>(H81*H46)*I89</f>
        <v>3.4551468794340008</v>
      </c>
      <c r="J91" s="48"/>
    </row>
    <row r="92" spans="1:10" x14ac:dyDescent="0.2">
      <c r="A92" s="389" t="s">
        <v>79</v>
      </c>
      <c r="B92" s="389"/>
      <c r="C92" s="389"/>
      <c r="D92" s="389"/>
      <c r="E92" s="389"/>
      <c r="F92" s="389"/>
      <c r="G92" s="389"/>
      <c r="H92" s="389"/>
      <c r="I92" s="13">
        <f>(SUM(I89:I90))</f>
        <v>110.5218</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129">
        <v>5</v>
      </c>
      <c r="B95" s="389" t="s">
        <v>81</v>
      </c>
      <c r="C95" s="389"/>
      <c r="D95" s="389"/>
      <c r="E95" s="389"/>
      <c r="F95" s="389"/>
      <c r="G95" s="389"/>
      <c r="H95" s="129"/>
      <c r="I95" s="129" t="s">
        <v>22</v>
      </c>
      <c r="J95" s="48"/>
    </row>
    <row r="96" spans="1:10" x14ac:dyDescent="0.2">
      <c r="A96" s="129" t="s">
        <v>1</v>
      </c>
      <c r="B96" s="393" t="s">
        <v>82</v>
      </c>
      <c r="C96" s="393"/>
      <c r="D96" s="393"/>
      <c r="E96" s="393"/>
      <c r="F96" s="393"/>
      <c r="G96" s="393"/>
      <c r="H96" s="128" t="s">
        <v>50</v>
      </c>
      <c r="I96" s="66">
        <f>UNIFORME!F10</f>
        <v>28.666666666666668</v>
      </c>
      <c r="J96" s="48"/>
    </row>
    <row r="97" spans="1:13" x14ac:dyDescent="0.2">
      <c r="A97" s="129" t="s">
        <v>3</v>
      </c>
      <c r="B97" s="393" t="s">
        <v>83</v>
      </c>
      <c r="C97" s="393"/>
      <c r="D97" s="393"/>
      <c r="E97" s="393"/>
      <c r="F97" s="393"/>
      <c r="G97" s="393"/>
      <c r="H97" s="128" t="s">
        <v>50</v>
      </c>
      <c r="I97" s="16">
        <f>MATERIAL!I38</f>
        <v>310.41666666666669</v>
      </c>
      <c r="J97" s="48"/>
    </row>
    <row r="98" spans="1:13" x14ac:dyDescent="0.2">
      <c r="A98" s="21" t="s">
        <v>5</v>
      </c>
      <c r="B98" s="393" t="s">
        <v>84</v>
      </c>
      <c r="C98" s="393"/>
      <c r="D98" s="393"/>
      <c r="E98" s="393"/>
      <c r="F98" s="393"/>
      <c r="G98" s="393"/>
      <c r="H98" s="128" t="s">
        <v>50</v>
      </c>
      <c r="I98" s="16">
        <f>MATERIAL!H28</f>
        <v>141.9375</v>
      </c>
      <c r="J98" s="48"/>
    </row>
    <row r="99" spans="1:13" x14ac:dyDescent="0.2">
      <c r="A99" s="21" t="s">
        <v>7</v>
      </c>
      <c r="B99" s="393" t="s">
        <v>435</v>
      </c>
      <c r="C99" s="393"/>
      <c r="D99" s="393"/>
      <c r="E99" s="393"/>
      <c r="F99" s="393"/>
      <c r="G99" s="393"/>
      <c r="H99" s="128" t="s">
        <v>50</v>
      </c>
      <c r="I99" s="16">
        <f>MATERIAL!H59</f>
        <v>20.76595744680851</v>
      </c>
      <c r="J99" s="48"/>
    </row>
    <row r="100" spans="1:13" x14ac:dyDescent="0.2">
      <c r="A100" s="389" t="s">
        <v>85</v>
      </c>
      <c r="B100" s="389"/>
      <c r="C100" s="389"/>
      <c r="D100" s="389"/>
      <c r="E100" s="389"/>
      <c r="F100" s="389"/>
      <c r="G100" s="389"/>
      <c r="H100" s="12" t="s">
        <v>50</v>
      </c>
      <c r="I100" s="13">
        <f>(SUM(I96:I99))</f>
        <v>501.78679078014187</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129">
        <v>6</v>
      </c>
      <c r="B103" s="389" t="s">
        <v>87</v>
      </c>
      <c r="C103" s="389"/>
      <c r="D103" s="389"/>
      <c r="E103" s="389"/>
      <c r="F103" s="389"/>
      <c r="G103" s="389"/>
      <c r="H103" s="129" t="s">
        <v>21</v>
      </c>
      <c r="I103" s="129" t="s">
        <v>22</v>
      </c>
      <c r="J103" s="48"/>
      <c r="K103" s="52">
        <f>'ANEXO VII'!M57</f>
        <v>197.15170301310718</v>
      </c>
    </row>
    <row r="104" spans="1:13" x14ac:dyDescent="0.2">
      <c r="A104" s="129" t="s">
        <v>1</v>
      </c>
      <c r="B104" s="373" t="s">
        <v>88</v>
      </c>
      <c r="C104" s="373"/>
      <c r="D104" s="373"/>
      <c r="E104" s="373"/>
      <c r="F104" s="373"/>
      <c r="G104" s="373"/>
      <c r="H104" s="22">
        <v>5.21E-2</v>
      </c>
      <c r="I104" s="16">
        <f>I120*H104</f>
        <v>157.82827754237539</v>
      </c>
      <c r="J104" s="48"/>
      <c r="M104" s="52"/>
    </row>
    <row r="105" spans="1:13" x14ac:dyDescent="0.2">
      <c r="A105" s="129" t="s">
        <v>3</v>
      </c>
      <c r="B105" s="373" t="s">
        <v>89</v>
      </c>
      <c r="C105" s="373"/>
      <c r="D105" s="373"/>
      <c r="E105" s="373"/>
      <c r="F105" s="373"/>
      <c r="G105" s="373"/>
      <c r="H105" s="22">
        <v>0.05</v>
      </c>
      <c r="I105" s="16">
        <f>(I120+I104)*H105</f>
        <v>159.35809098112588</v>
      </c>
      <c r="J105" s="48"/>
    </row>
    <row r="106" spans="1:13" x14ac:dyDescent="0.2">
      <c r="A106" s="129" t="s">
        <v>5</v>
      </c>
      <c r="B106" s="392" t="s">
        <v>90</v>
      </c>
      <c r="C106" s="392"/>
      <c r="D106" s="392"/>
      <c r="E106" s="392"/>
      <c r="F106" s="392"/>
      <c r="G106" s="392"/>
      <c r="H106" s="23">
        <f>H107+H108+H109</f>
        <v>8.6499999999999994E-2</v>
      </c>
      <c r="I106" s="24"/>
      <c r="J106" s="48"/>
    </row>
    <row r="107" spans="1:13" x14ac:dyDescent="0.2">
      <c r="A107" s="129" t="s">
        <v>91</v>
      </c>
      <c r="B107" s="373" t="s">
        <v>92</v>
      </c>
      <c r="C107" s="373"/>
      <c r="D107" s="373"/>
      <c r="E107" s="373"/>
      <c r="F107" s="373"/>
      <c r="G107" s="373"/>
      <c r="H107" s="25">
        <v>6.4999999999999997E-3</v>
      </c>
      <c r="I107" s="16">
        <f>K110*H107</f>
        <v>23.81212853740961</v>
      </c>
      <c r="J107" s="48"/>
      <c r="K107" s="65">
        <f>1-H106</f>
        <v>0.91349999999999998</v>
      </c>
    </row>
    <row r="108" spans="1:13" x14ac:dyDescent="0.2">
      <c r="A108" s="129" t="s">
        <v>93</v>
      </c>
      <c r="B108" s="373" t="s">
        <v>94</v>
      </c>
      <c r="C108" s="373"/>
      <c r="D108" s="373"/>
      <c r="E108" s="373"/>
      <c r="F108" s="373"/>
      <c r="G108" s="373"/>
      <c r="H108" s="25">
        <v>0.03</v>
      </c>
      <c r="I108" s="16">
        <f>K110*H108</f>
        <v>109.90213171112127</v>
      </c>
      <c r="J108" s="48"/>
      <c r="K108" s="45">
        <f>K107/1</f>
        <v>0.91349999999999998</v>
      </c>
    </row>
    <row r="109" spans="1:13" x14ac:dyDescent="0.2">
      <c r="A109" s="129" t="s">
        <v>95</v>
      </c>
      <c r="B109" s="373" t="s">
        <v>96</v>
      </c>
      <c r="C109" s="373"/>
      <c r="D109" s="373"/>
      <c r="E109" s="373"/>
      <c r="F109" s="373"/>
      <c r="G109" s="373"/>
      <c r="H109" s="26">
        <v>0.05</v>
      </c>
      <c r="I109" s="16">
        <f>K110*H109</f>
        <v>183.17021951853548</v>
      </c>
      <c r="J109" s="48"/>
      <c r="K109" s="20">
        <f>I120+I104+I105</f>
        <v>3346.519910603643</v>
      </c>
    </row>
    <row r="110" spans="1:13" x14ac:dyDescent="0.2">
      <c r="A110" s="389" t="s">
        <v>97</v>
      </c>
      <c r="B110" s="389"/>
      <c r="C110" s="389"/>
      <c r="D110" s="389"/>
      <c r="E110" s="389"/>
      <c r="F110" s="389"/>
      <c r="G110" s="389"/>
      <c r="H110" s="25">
        <f>SUM(H104+H105+H106)</f>
        <v>0.18859999999999999</v>
      </c>
      <c r="I110" s="13">
        <f>(SUM(I104:I109))</f>
        <v>634.07084829056771</v>
      </c>
      <c r="J110" s="48"/>
      <c r="K110" s="20">
        <f>K109/K108</f>
        <v>3663.4043903707093</v>
      </c>
    </row>
    <row r="111" spans="1:13" x14ac:dyDescent="0.2">
      <c r="A111" s="131"/>
      <c r="B111" s="390"/>
      <c r="C111" s="390"/>
      <c r="D111" s="390"/>
      <c r="E111" s="390"/>
      <c r="F111" s="390"/>
      <c r="G111" s="390"/>
      <c r="H111" s="390"/>
      <c r="I111" s="390"/>
    </row>
    <row r="112" spans="1:13" x14ac:dyDescent="0.2">
      <c r="A112" s="131"/>
      <c r="B112" s="131"/>
      <c r="C112" s="131"/>
      <c r="D112" s="131"/>
      <c r="E112" s="131"/>
      <c r="F112" s="131"/>
      <c r="G112" s="131"/>
      <c r="H112" s="131"/>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129" t="s">
        <v>22</v>
      </c>
    </row>
    <row r="115" spans="1:12" x14ac:dyDescent="0.2">
      <c r="A115" s="128" t="s">
        <v>1</v>
      </c>
      <c r="B115" s="373" t="str">
        <f>A19</f>
        <v>MÓDULO 1 - COMPOSIÇÃO DA REMUNERAÇÃO</v>
      </c>
      <c r="C115" s="373"/>
      <c r="D115" s="373"/>
      <c r="E115" s="373"/>
      <c r="F115" s="373"/>
      <c r="G115" s="373"/>
      <c r="H115" s="373"/>
      <c r="I115" s="16">
        <f>I28</f>
        <v>1266</v>
      </c>
      <c r="K115" s="20"/>
      <c r="L115" s="53"/>
    </row>
    <row r="116" spans="1:12" x14ac:dyDescent="0.2">
      <c r="A116" s="128" t="s">
        <v>3</v>
      </c>
      <c r="B116" s="373" t="str">
        <f>A30</f>
        <v>MÓDULO 2 – ENCARGOS E BENEFÍCIOS ANUAIS, MENSAIS E DIÁRIOS</v>
      </c>
      <c r="C116" s="373"/>
      <c r="D116" s="373"/>
      <c r="E116" s="373"/>
      <c r="F116" s="373"/>
      <c r="G116" s="373"/>
      <c r="H116" s="373"/>
      <c r="I116" s="16">
        <f>I61</f>
        <v>1071.41489606</v>
      </c>
    </row>
    <row r="117" spans="1:12" x14ac:dyDescent="0.2">
      <c r="A117" s="128" t="s">
        <v>5</v>
      </c>
      <c r="B117" s="373" t="str">
        <f>A63</f>
        <v>MÓDULO 3 – PROVISÃO PARA RESCISÃO</v>
      </c>
      <c r="C117" s="373"/>
      <c r="D117" s="373"/>
      <c r="E117" s="373"/>
      <c r="F117" s="373"/>
      <c r="G117" s="373"/>
      <c r="H117" s="373"/>
      <c r="I117" s="16">
        <f>I71</f>
        <v>79.610055239999994</v>
      </c>
    </row>
    <row r="118" spans="1:12" x14ac:dyDescent="0.2">
      <c r="A118" s="128" t="s">
        <v>7</v>
      </c>
      <c r="B118" s="373" t="str">
        <f>A73</f>
        <v>MÓDULO 4 – CUSTO DE REPOSIÇÃO DO PROFISSIONAL AUSENTE</v>
      </c>
      <c r="C118" s="373"/>
      <c r="D118" s="373"/>
      <c r="E118" s="373"/>
      <c r="F118" s="373"/>
      <c r="G118" s="373"/>
      <c r="H118" s="373"/>
      <c r="I118" s="16">
        <f>I92</f>
        <v>110.5218</v>
      </c>
    </row>
    <row r="119" spans="1:12" x14ac:dyDescent="0.2">
      <c r="A119" s="128" t="s">
        <v>27</v>
      </c>
      <c r="B119" s="373" t="str">
        <f>A94</f>
        <v>MÓDULO 5 – INSUMOS DIVERSOS</v>
      </c>
      <c r="C119" s="373"/>
      <c r="D119" s="373"/>
      <c r="E119" s="373"/>
      <c r="F119" s="373"/>
      <c r="G119" s="373"/>
      <c r="H119" s="373"/>
      <c r="I119" s="16">
        <f>I100</f>
        <v>501.78679078014187</v>
      </c>
    </row>
    <row r="120" spans="1:12" x14ac:dyDescent="0.2">
      <c r="A120" s="129"/>
      <c r="B120" s="389" t="s">
        <v>100</v>
      </c>
      <c r="C120" s="389"/>
      <c r="D120" s="389"/>
      <c r="E120" s="389"/>
      <c r="F120" s="389"/>
      <c r="G120" s="389"/>
      <c r="H120" s="389"/>
      <c r="I120" s="13">
        <f>(SUM(I115:I119))</f>
        <v>3029.3335420801418</v>
      </c>
    </row>
    <row r="121" spans="1:12" x14ac:dyDescent="0.2">
      <c r="A121" s="128" t="s">
        <v>29</v>
      </c>
      <c r="B121" s="373" t="str">
        <f>A102</f>
        <v>MÓDULO 6 – CUSTOS INDIRETOS, TRIBUTOS E LUCRO</v>
      </c>
      <c r="C121" s="373"/>
      <c r="D121" s="373"/>
      <c r="E121" s="373"/>
      <c r="F121" s="373"/>
      <c r="G121" s="373"/>
      <c r="H121" s="373"/>
      <c r="I121" s="5">
        <f>I110</f>
        <v>634.07084829056771</v>
      </c>
    </row>
    <row r="122" spans="1:12" x14ac:dyDescent="0.2">
      <c r="A122" s="389" t="s">
        <v>101</v>
      </c>
      <c r="B122" s="389"/>
      <c r="C122" s="389"/>
      <c r="D122" s="389"/>
      <c r="E122" s="389"/>
      <c r="F122" s="389"/>
      <c r="G122" s="389"/>
      <c r="H122" s="389"/>
      <c r="I122" s="13">
        <f>(SUM(I120:I121))</f>
        <v>3663.4043903707097</v>
      </c>
      <c r="K122" s="51"/>
    </row>
    <row r="123" spans="1:12" x14ac:dyDescent="0.2">
      <c r="I123" s="20"/>
      <c r="K123" s="51"/>
    </row>
    <row r="124" spans="1:12" hidden="1" x14ac:dyDescent="0.2">
      <c r="A124" s="131"/>
      <c r="B124" s="379" t="s">
        <v>102</v>
      </c>
      <c r="C124" s="379"/>
      <c r="D124" s="379"/>
      <c r="E124" s="379"/>
      <c r="F124" s="379"/>
      <c r="G124" s="379"/>
      <c r="H124" s="8"/>
      <c r="I124" s="8"/>
      <c r="K124" s="51"/>
    </row>
    <row r="125" spans="1:12" ht="40.5" hidden="1" customHeight="1" x14ac:dyDescent="0.2">
      <c r="A125" s="385" t="s">
        <v>103</v>
      </c>
      <c r="B125" s="385"/>
      <c r="C125" s="385" t="s">
        <v>104</v>
      </c>
      <c r="D125" s="385"/>
      <c r="E125" s="385" t="s">
        <v>105</v>
      </c>
      <c r="F125" s="385"/>
      <c r="G125" s="28" t="s">
        <v>106</v>
      </c>
      <c r="H125" s="132" t="s">
        <v>107</v>
      </c>
      <c r="I125" s="134"/>
      <c r="K125" s="51"/>
    </row>
    <row r="126" spans="1:12" hidden="1" x14ac:dyDescent="0.2">
      <c r="A126" s="386" t="s">
        <v>108</v>
      </c>
      <c r="B126" s="386"/>
      <c r="C126" s="387" t="s">
        <v>109</v>
      </c>
      <c r="D126" s="387"/>
      <c r="E126" s="388"/>
      <c r="F126" s="388"/>
      <c r="G126" s="29" t="s">
        <v>109</v>
      </c>
      <c r="H126" s="30"/>
      <c r="I126" s="31"/>
      <c r="K126" s="51"/>
    </row>
    <row r="127" spans="1:12" hidden="1" x14ac:dyDescent="0.2">
      <c r="A127" s="381" t="s">
        <v>110</v>
      </c>
      <c r="B127" s="381"/>
      <c r="C127" s="382" t="s">
        <v>109</v>
      </c>
      <c r="D127" s="382"/>
      <c r="E127" s="383"/>
      <c r="F127" s="383"/>
      <c r="G127" s="32" t="s">
        <v>109</v>
      </c>
      <c r="H127" s="33"/>
      <c r="I127" s="34"/>
      <c r="K127" s="51"/>
    </row>
    <row r="128" spans="1:12" hidden="1" x14ac:dyDescent="0.2">
      <c r="A128" s="381" t="s">
        <v>111</v>
      </c>
      <c r="B128" s="381"/>
      <c r="C128" s="382" t="s">
        <v>109</v>
      </c>
      <c r="D128" s="382"/>
      <c r="E128" s="383"/>
      <c r="F128" s="383"/>
      <c r="G128" s="32" t="s">
        <v>109</v>
      </c>
      <c r="H128" s="33"/>
      <c r="I128" s="34"/>
      <c r="K128" s="51"/>
    </row>
    <row r="129" spans="1:11" hidden="1" x14ac:dyDescent="0.2">
      <c r="A129" s="381" t="s">
        <v>112</v>
      </c>
      <c r="B129" s="381"/>
      <c r="C129" s="382" t="s">
        <v>109</v>
      </c>
      <c r="D129" s="382"/>
      <c r="E129" s="383"/>
      <c r="F129" s="383"/>
      <c r="G129" s="32" t="s">
        <v>109</v>
      </c>
      <c r="H129" s="33"/>
      <c r="I129" s="34"/>
      <c r="K129" s="51"/>
    </row>
    <row r="130" spans="1:11" hidden="1" x14ac:dyDescent="0.2">
      <c r="A130" s="384"/>
      <c r="B130" s="384"/>
      <c r="C130" s="383"/>
      <c r="D130" s="383"/>
      <c r="E130" s="383"/>
      <c r="F130" s="383"/>
      <c r="G130" s="35"/>
      <c r="H130" s="36"/>
      <c r="I130" s="34"/>
      <c r="K130" s="51"/>
    </row>
    <row r="131" spans="1:11" ht="13.5" hidden="1" thickBot="1" x14ac:dyDescent="0.25">
      <c r="A131" s="376"/>
      <c r="B131" s="376"/>
      <c r="C131" s="377"/>
      <c r="D131" s="377"/>
      <c r="E131" s="377"/>
      <c r="F131" s="377"/>
      <c r="G131" s="37"/>
      <c r="H131" s="38"/>
      <c r="I131" s="39"/>
      <c r="K131" s="51"/>
    </row>
    <row r="132" spans="1:11" ht="13.5" hidden="1" thickBot="1" x14ac:dyDescent="0.25">
      <c r="A132" s="378" t="s">
        <v>113</v>
      </c>
      <c r="B132" s="378"/>
      <c r="C132" s="378"/>
      <c r="D132" s="378"/>
      <c r="E132" s="378"/>
      <c r="F132" s="378"/>
      <c r="G132" s="378"/>
      <c r="H132" s="378"/>
      <c r="I132" s="40"/>
      <c r="K132" s="51"/>
    </row>
    <row r="133" spans="1:11" x14ac:dyDescent="0.2">
      <c r="I133" s="20"/>
    </row>
    <row r="134" spans="1:11" hidden="1" x14ac:dyDescent="0.2">
      <c r="A134" s="131"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133"/>
      <c r="B136" s="371" t="s">
        <v>117</v>
      </c>
      <c r="C136" s="371"/>
      <c r="D136" s="371"/>
      <c r="E136" s="371"/>
      <c r="F136" s="371"/>
      <c r="G136" s="371"/>
      <c r="H136" s="371"/>
      <c r="I136" s="134" t="s">
        <v>22</v>
      </c>
    </row>
    <row r="137" spans="1:11" hidden="1" x14ac:dyDescent="0.2">
      <c r="A137" s="41" t="s">
        <v>1</v>
      </c>
      <c r="B137" s="372" t="s">
        <v>118</v>
      </c>
      <c r="C137" s="372"/>
      <c r="D137" s="372"/>
      <c r="E137" s="372"/>
      <c r="F137" s="372"/>
      <c r="G137" s="372"/>
      <c r="H137" s="372"/>
      <c r="I137" s="42">
        <f>I107</f>
        <v>23.81212853740961</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634.07084829056771</v>
      </c>
    </row>
    <row r="140" spans="1:11" ht="13.5" hidden="1" thickBot="1" x14ac:dyDescent="0.25">
      <c r="A140" s="375" t="s">
        <v>121</v>
      </c>
      <c r="B140" s="375"/>
      <c r="C140" s="375"/>
      <c r="D140" s="375"/>
      <c r="E140" s="375"/>
      <c r="F140" s="375"/>
      <c r="G140" s="375"/>
      <c r="H140" s="375"/>
      <c r="I140" s="40" t="e">
        <f>SUM(I137:I139)</f>
        <v>#REF!</v>
      </c>
    </row>
    <row r="141" spans="1:11" hidden="1" x14ac:dyDescent="0.2">
      <c r="A141" s="131" t="s">
        <v>122</v>
      </c>
      <c r="B141" s="45" t="s">
        <v>123</v>
      </c>
    </row>
    <row r="143" spans="1:11" ht="15.75" thickBot="1" x14ac:dyDescent="0.25">
      <c r="A143" s="195" t="s">
        <v>242</v>
      </c>
      <c r="B143" s="195"/>
      <c r="C143" s="195"/>
      <c r="D143" s="195"/>
      <c r="E143" s="195"/>
      <c r="F143" s="195"/>
      <c r="G143" s="195"/>
      <c r="H143" s="195"/>
    </row>
    <row r="144" spans="1:11" ht="15" x14ac:dyDescent="0.2">
      <c r="A144" s="419" t="s">
        <v>243</v>
      </c>
      <c r="B144" s="420"/>
      <c r="C144" s="421"/>
      <c r="D144" s="196" t="s">
        <v>244</v>
      </c>
      <c r="E144" s="419" t="s">
        <v>245</v>
      </c>
      <c r="F144" s="421"/>
      <c r="G144" s="419" t="s">
        <v>246</v>
      </c>
      <c r="H144" s="421"/>
    </row>
    <row r="145" spans="1:8" ht="15.75" thickBot="1" x14ac:dyDescent="0.25">
      <c r="A145" s="197"/>
      <c r="B145" s="198"/>
      <c r="C145" s="199"/>
      <c r="D145" s="200" t="s">
        <v>247</v>
      </c>
      <c r="E145" s="422" t="s">
        <v>248</v>
      </c>
      <c r="F145" s="423"/>
      <c r="G145" s="422" t="s">
        <v>249</v>
      </c>
      <c r="H145" s="423"/>
    </row>
    <row r="146" spans="1:8" ht="15.75" thickBot="1" x14ac:dyDescent="0.25">
      <c r="A146" s="201" t="s">
        <v>134</v>
      </c>
      <c r="B146" s="202"/>
      <c r="C146" s="202"/>
      <c r="D146" s="203">
        <f>1/(30*2250)</f>
        <v>1.4814814814814815E-5</v>
      </c>
      <c r="E146" s="424">
        <v>0</v>
      </c>
      <c r="F146" s="425"/>
      <c r="G146" s="426">
        <f>D146*E146</f>
        <v>0</v>
      </c>
      <c r="H146" s="427"/>
    </row>
    <row r="147" spans="1:8" ht="15.75" thickBot="1" x14ac:dyDescent="0.25">
      <c r="A147" s="204" t="s">
        <v>140</v>
      </c>
      <c r="B147" s="205"/>
      <c r="C147" s="205"/>
      <c r="D147" s="206">
        <f>1/2250</f>
        <v>4.4444444444444447E-4</v>
      </c>
      <c r="E147" s="428">
        <f>I122</f>
        <v>3663.4043903707097</v>
      </c>
      <c r="F147" s="418"/>
      <c r="G147" s="426">
        <f>D147*E147</f>
        <v>1.6281797290536488</v>
      </c>
      <c r="H147" s="427"/>
    </row>
    <row r="148" spans="1:8" ht="15.75" thickBot="1" x14ac:dyDescent="0.25">
      <c r="A148" s="417" t="s">
        <v>250</v>
      </c>
      <c r="B148" s="418"/>
      <c r="C148" s="418"/>
      <c r="D148" s="418"/>
      <c r="E148" s="418"/>
      <c r="F148" s="418"/>
      <c r="G148" s="204"/>
      <c r="H148" s="207">
        <f>SUM(G146:H147)</f>
        <v>1.6281797290536488</v>
      </c>
    </row>
  </sheetData>
  <mergeCells count="181">
    <mergeCell ref="A148:F148"/>
    <mergeCell ref="E145:F145"/>
    <mergeCell ref="G145:H145"/>
    <mergeCell ref="E146:F146"/>
    <mergeCell ref="G146:H146"/>
    <mergeCell ref="E147:F147"/>
    <mergeCell ref="G147:H147"/>
    <mergeCell ref="B136:H136"/>
    <mergeCell ref="B137:H137"/>
    <mergeCell ref="B138:H138"/>
    <mergeCell ref="B139:H139"/>
    <mergeCell ref="A140:H140"/>
    <mergeCell ref="A144:C144"/>
    <mergeCell ref="E144:F144"/>
    <mergeCell ref="G144:H144"/>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B117:H117"/>
    <mergeCell ref="B118:H118"/>
    <mergeCell ref="B119:H119"/>
    <mergeCell ref="B120:H120"/>
    <mergeCell ref="B121:H121"/>
    <mergeCell ref="A122:H122"/>
    <mergeCell ref="A110:G110"/>
    <mergeCell ref="B111:I111"/>
    <mergeCell ref="A113:I113"/>
    <mergeCell ref="A114:H114"/>
    <mergeCell ref="B115:H115"/>
    <mergeCell ref="B116:H116"/>
    <mergeCell ref="B104:G104"/>
    <mergeCell ref="B105:G105"/>
    <mergeCell ref="B106:G106"/>
    <mergeCell ref="B107:G107"/>
    <mergeCell ref="B108:G108"/>
    <mergeCell ref="B109:G109"/>
    <mergeCell ref="B98:G98"/>
    <mergeCell ref="B99:G99"/>
    <mergeCell ref="A100:G100"/>
    <mergeCell ref="A101:I101"/>
    <mergeCell ref="A102:I102"/>
    <mergeCell ref="B103:G103"/>
    <mergeCell ref="A92:H92"/>
    <mergeCell ref="A93:I93"/>
    <mergeCell ref="A94:I94"/>
    <mergeCell ref="B95:G95"/>
    <mergeCell ref="B96:G96"/>
    <mergeCell ref="B97:G97"/>
    <mergeCell ref="A86:I86"/>
    <mergeCell ref="A87:I87"/>
    <mergeCell ref="A88:H88"/>
    <mergeCell ref="B89:H89"/>
    <mergeCell ref="B90:H90"/>
    <mergeCell ref="B91:H91"/>
    <mergeCell ref="B80:G80"/>
    <mergeCell ref="A81:G81"/>
    <mergeCell ref="A82:I82"/>
    <mergeCell ref="A83:G83"/>
    <mergeCell ref="B84:G84"/>
    <mergeCell ref="A85:G85"/>
    <mergeCell ref="A74:G74"/>
    <mergeCell ref="B75:G75"/>
    <mergeCell ref="B76:G76"/>
    <mergeCell ref="B77:G77"/>
    <mergeCell ref="B78:G78"/>
    <mergeCell ref="B79:G79"/>
    <mergeCell ref="B68:G68"/>
    <mergeCell ref="B69:G69"/>
    <mergeCell ref="B70:G70"/>
    <mergeCell ref="A71:G71"/>
    <mergeCell ref="A72:I72"/>
    <mergeCell ref="A73:I73"/>
    <mergeCell ref="A62:I62"/>
    <mergeCell ref="A63:I63"/>
    <mergeCell ref="B64:G64"/>
    <mergeCell ref="B65:G65"/>
    <mergeCell ref="B66:G66"/>
    <mergeCell ref="B67:G67"/>
    <mergeCell ref="B58:H58"/>
    <mergeCell ref="B59:H59"/>
    <mergeCell ref="B60:H60"/>
    <mergeCell ref="A61:H61"/>
    <mergeCell ref="B50:G50"/>
    <mergeCell ref="B51:G51"/>
    <mergeCell ref="B52:G52"/>
    <mergeCell ref="B53:G53"/>
    <mergeCell ref="A54:H54"/>
    <mergeCell ref="A55:I55"/>
    <mergeCell ref="A46:G46"/>
    <mergeCell ref="A47:I47"/>
    <mergeCell ref="A48:G48"/>
    <mergeCell ref="B49:G49"/>
    <mergeCell ref="A35:G35"/>
    <mergeCell ref="A36:I36"/>
    <mergeCell ref="A37:G37"/>
    <mergeCell ref="A56:I56"/>
    <mergeCell ref="A57:H57"/>
    <mergeCell ref="K37:K45"/>
    <mergeCell ref="B38:G38"/>
    <mergeCell ref="B39:G39"/>
    <mergeCell ref="B40:G40"/>
    <mergeCell ref="B41:G41"/>
    <mergeCell ref="B42:G42"/>
    <mergeCell ref="B43:G43"/>
    <mergeCell ref="A28:H28"/>
    <mergeCell ref="A30:I30"/>
    <mergeCell ref="A31:G31"/>
    <mergeCell ref="B32:G32"/>
    <mergeCell ref="B33:G33"/>
    <mergeCell ref="B34:G34"/>
    <mergeCell ref="B44:G44"/>
    <mergeCell ref="B45:G45"/>
    <mergeCell ref="B22:G22"/>
    <mergeCell ref="B23:G23"/>
    <mergeCell ref="B24:G24"/>
    <mergeCell ref="B25:G25"/>
    <mergeCell ref="B26:G26"/>
    <mergeCell ref="B27:G27"/>
    <mergeCell ref="B16:H16"/>
    <mergeCell ref="B17:H17"/>
    <mergeCell ref="A18:I18"/>
    <mergeCell ref="A19:I19"/>
    <mergeCell ref="B20:G20"/>
    <mergeCell ref="B21:G21"/>
    <mergeCell ref="A12:I12"/>
    <mergeCell ref="L12:Q12"/>
    <mergeCell ref="R12:S12"/>
    <mergeCell ref="B13:H13"/>
    <mergeCell ref="B14:H14"/>
    <mergeCell ref="B15:H15"/>
    <mergeCell ref="A10:B10"/>
    <mergeCell ref="C10:D10"/>
    <mergeCell ref="E10:I10"/>
    <mergeCell ref="L10:Q10"/>
    <mergeCell ref="R10:S10"/>
    <mergeCell ref="L11:Q11"/>
    <mergeCell ref="R11:S11"/>
    <mergeCell ref="B6:H6"/>
    <mergeCell ref="K6:S6"/>
    <mergeCell ref="K7:S7"/>
    <mergeCell ref="A8:I8"/>
    <mergeCell ref="K8:S8"/>
    <mergeCell ref="A9:B9"/>
    <mergeCell ref="C9:D9"/>
    <mergeCell ref="E9:I9"/>
    <mergeCell ref="L9:Q9"/>
    <mergeCell ref="R9:S9"/>
    <mergeCell ref="B4:H4"/>
    <mergeCell ref="L4:M4"/>
    <mergeCell ref="N4:Q4"/>
    <mergeCell ref="R4:S4"/>
    <mergeCell ref="B5:H5"/>
    <mergeCell ref="K5:S5"/>
    <mergeCell ref="A2:I2"/>
    <mergeCell ref="K2:S2"/>
    <mergeCell ref="B3:H3"/>
    <mergeCell ref="L3:M3"/>
    <mergeCell ref="N3:Q3"/>
    <mergeCell ref="R3:S3"/>
  </mergeCells>
  <pageMargins left="0.25" right="0.25" top="0.75" bottom="0.75" header="0.3" footer="0.3"/>
  <pageSetup paperSize="9" firstPageNumber="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A9FE1-DB96-42B9-A8A8-8A32F0D9DB90}">
  <sheetPr>
    <tabColor rgb="FF7030A0"/>
  </sheetPr>
  <dimension ref="A2:S149"/>
  <sheetViews>
    <sheetView tabSelected="1" topLeftCell="A145" zoomScale="118" zoomScaleNormal="118" workbookViewId="0">
      <selection activeCell="I104" sqref="I104"/>
    </sheetView>
  </sheetViews>
  <sheetFormatPr defaultColWidth="9.140625" defaultRowHeight="12.75" x14ac:dyDescent="0.2"/>
  <cols>
    <col min="1" max="3" width="9.140625" style="45"/>
    <col min="4" max="4" width="24" style="45" bestFit="1" customWidth="1"/>
    <col min="5"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340" t="s">
        <v>1</v>
      </c>
      <c r="B3" s="373" t="s">
        <v>2</v>
      </c>
      <c r="C3" s="373"/>
      <c r="D3" s="373"/>
      <c r="E3" s="373"/>
      <c r="F3" s="373"/>
      <c r="G3" s="373"/>
      <c r="H3" s="373"/>
      <c r="I3" s="1">
        <v>44182</v>
      </c>
      <c r="K3" s="347"/>
      <c r="L3" s="410"/>
      <c r="M3" s="410"/>
      <c r="N3" s="410"/>
      <c r="O3" s="410"/>
      <c r="P3" s="410"/>
      <c r="Q3" s="410"/>
      <c r="R3" s="416"/>
      <c r="S3" s="416"/>
    </row>
    <row r="4" spans="1:19" x14ac:dyDescent="0.2">
      <c r="A4" s="340" t="s">
        <v>3</v>
      </c>
      <c r="B4" s="373" t="s">
        <v>4</v>
      </c>
      <c r="C4" s="373"/>
      <c r="D4" s="373"/>
      <c r="E4" s="373"/>
      <c r="F4" s="373"/>
      <c r="G4" s="373"/>
      <c r="H4" s="373"/>
      <c r="I4" s="340" t="s">
        <v>183</v>
      </c>
      <c r="K4" s="347"/>
      <c r="L4" s="407"/>
      <c r="M4" s="407"/>
      <c r="N4" s="410"/>
      <c r="O4" s="410"/>
      <c r="P4" s="410"/>
      <c r="Q4" s="410"/>
      <c r="R4" s="410"/>
      <c r="S4" s="410"/>
    </row>
    <row r="5" spans="1:19" x14ac:dyDescent="0.2">
      <c r="A5" s="340" t="s">
        <v>5</v>
      </c>
      <c r="B5" s="373" t="s">
        <v>6</v>
      </c>
      <c r="C5" s="373"/>
      <c r="D5" s="373"/>
      <c r="E5" s="373"/>
      <c r="F5" s="373"/>
      <c r="G5" s="373"/>
      <c r="H5" s="373"/>
      <c r="I5" s="340">
        <v>2020</v>
      </c>
      <c r="K5" s="414"/>
      <c r="L5" s="414"/>
      <c r="M5" s="414"/>
      <c r="N5" s="414"/>
      <c r="O5" s="414"/>
      <c r="P5" s="414"/>
      <c r="Q5" s="414"/>
      <c r="R5" s="414"/>
      <c r="S5" s="414"/>
    </row>
    <row r="6" spans="1:19" x14ac:dyDescent="0.2">
      <c r="A6" s="340" t="s">
        <v>7</v>
      </c>
      <c r="B6" s="373" t="s">
        <v>8</v>
      </c>
      <c r="C6" s="373"/>
      <c r="D6" s="373"/>
      <c r="E6" s="373"/>
      <c r="F6" s="373"/>
      <c r="G6" s="373"/>
      <c r="H6" s="373"/>
      <c r="I6" s="340">
        <v>12</v>
      </c>
      <c r="K6" s="414"/>
      <c r="L6" s="414"/>
      <c r="M6" s="414"/>
      <c r="N6" s="414"/>
      <c r="O6" s="414"/>
      <c r="P6" s="414"/>
      <c r="Q6" s="414"/>
      <c r="R6" s="414"/>
      <c r="S6" s="414"/>
    </row>
    <row r="7" spans="1:19" x14ac:dyDescent="0.2">
      <c r="A7" s="342"/>
      <c r="B7" s="346"/>
      <c r="C7" s="346"/>
      <c r="D7" s="346"/>
      <c r="E7" s="346"/>
      <c r="F7" s="346"/>
      <c r="G7" s="346"/>
      <c r="H7" s="342"/>
      <c r="I7" s="342"/>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347"/>
      <c r="L9" s="406"/>
      <c r="M9" s="406"/>
      <c r="N9" s="406"/>
      <c r="O9" s="406"/>
      <c r="P9" s="406"/>
      <c r="Q9" s="406"/>
      <c r="R9" s="410"/>
      <c r="S9" s="410"/>
    </row>
    <row r="10" spans="1:19" ht="27" customHeight="1" x14ac:dyDescent="0.2">
      <c r="A10" s="411" t="s">
        <v>129</v>
      </c>
      <c r="B10" s="411"/>
      <c r="C10" s="370"/>
      <c r="D10" s="370"/>
      <c r="E10" s="412">
        <v>1</v>
      </c>
      <c r="F10" s="412"/>
      <c r="G10" s="412"/>
      <c r="H10" s="412"/>
      <c r="I10" s="412"/>
      <c r="K10" s="348"/>
      <c r="L10" s="408"/>
      <c r="M10" s="408"/>
      <c r="N10" s="408"/>
      <c r="O10" s="408"/>
      <c r="P10" s="408"/>
      <c r="Q10" s="408"/>
      <c r="R10" s="413"/>
      <c r="S10" s="413"/>
    </row>
    <row r="11" spans="1:19" x14ac:dyDescent="0.2">
      <c r="A11" s="342"/>
      <c r="B11" s="346"/>
      <c r="C11" s="346"/>
      <c r="D11" s="346"/>
      <c r="E11" s="346"/>
      <c r="F11" s="346"/>
      <c r="G11" s="346"/>
      <c r="H11" s="342"/>
      <c r="I11" s="342"/>
      <c r="K11" s="347"/>
      <c r="L11" s="406"/>
      <c r="M11" s="406"/>
      <c r="N11" s="406"/>
      <c r="O11" s="406"/>
      <c r="P11" s="406"/>
      <c r="Q11" s="406"/>
      <c r="R11" s="407"/>
      <c r="S11" s="407"/>
    </row>
    <row r="12" spans="1:19" x14ac:dyDescent="0.2">
      <c r="A12" s="395" t="s">
        <v>13</v>
      </c>
      <c r="B12" s="395"/>
      <c r="C12" s="395"/>
      <c r="D12" s="395"/>
      <c r="E12" s="395"/>
      <c r="F12" s="395"/>
      <c r="G12" s="395"/>
      <c r="H12" s="395"/>
      <c r="I12" s="395"/>
      <c r="K12" s="348"/>
      <c r="L12" s="408"/>
      <c r="M12" s="408"/>
      <c r="N12" s="408"/>
      <c r="O12" s="408"/>
      <c r="P12" s="408"/>
      <c r="Q12" s="408"/>
      <c r="R12" s="409"/>
      <c r="S12" s="409"/>
    </row>
    <row r="13" spans="1:19" x14ac:dyDescent="0.2">
      <c r="A13" s="340">
        <v>1</v>
      </c>
      <c r="B13" s="373" t="s">
        <v>14</v>
      </c>
      <c r="C13" s="373"/>
      <c r="D13" s="373"/>
      <c r="E13" s="373"/>
      <c r="F13" s="373"/>
      <c r="G13" s="373"/>
      <c r="H13" s="373"/>
      <c r="I13" s="50" t="s">
        <v>184</v>
      </c>
      <c r="K13" s="2"/>
      <c r="L13" s="2"/>
      <c r="M13" s="2"/>
      <c r="N13" s="2"/>
      <c r="O13" s="2"/>
      <c r="P13" s="2"/>
      <c r="Q13" s="2"/>
      <c r="R13" s="2"/>
      <c r="S13" s="2"/>
    </row>
    <row r="14" spans="1:19" x14ac:dyDescent="0.2">
      <c r="A14" s="340">
        <v>2</v>
      </c>
      <c r="B14" s="373" t="s">
        <v>15</v>
      </c>
      <c r="C14" s="373"/>
      <c r="D14" s="373"/>
      <c r="E14" s="373"/>
      <c r="F14" s="373"/>
      <c r="G14" s="373"/>
      <c r="H14" s="373"/>
      <c r="I14" s="340"/>
    </row>
    <row r="15" spans="1:19" x14ac:dyDescent="0.2">
      <c r="A15" s="340">
        <v>3</v>
      </c>
      <c r="B15" s="373" t="s">
        <v>16</v>
      </c>
      <c r="C15" s="373"/>
      <c r="D15" s="373"/>
      <c r="E15" s="373"/>
      <c r="F15" s="373"/>
      <c r="G15" s="373"/>
      <c r="H15" s="373"/>
      <c r="I15" s="3">
        <v>1075</v>
      </c>
    </row>
    <row r="16" spans="1:19" x14ac:dyDescent="0.2">
      <c r="A16" s="340">
        <v>4</v>
      </c>
      <c r="B16" s="373" t="s">
        <v>17</v>
      </c>
      <c r="C16" s="373"/>
      <c r="D16" s="373"/>
      <c r="E16" s="373"/>
      <c r="F16" s="373"/>
      <c r="G16" s="373"/>
      <c r="H16" s="373"/>
      <c r="I16" s="1" t="str">
        <f>A10</f>
        <v>ASG</v>
      </c>
    </row>
    <row r="17" spans="1:12" x14ac:dyDescent="0.2">
      <c r="A17" s="340">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345">
        <v>1</v>
      </c>
      <c r="B20" s="389" t="s">
        <v>20</v>
      </c>
      <c r="C20" s="389"/>
      <c r="D20" s="389"/>
      <c r="E20" s="389"/>
      <c r="F20" s="389"/>
      <c r="G20" s="389"/>
      <c r="H20" s="345" t="s">
        <v>21</v>
      </c>
      <c r="I20" s="345" t="s">
        <v>22</v>
      </c>
    </row>
    <row r="21" spans="1:12" x14ac:dyDescent="0.2">
      <c r="A21" s="345" t="s">
        <v>1</v>
      </c>
      <c r="B21" s="373" t="s">
        <v>23</v>
      </c>
      <c r="C21" s="373"/>
      <c r="D21" s="373"/>
      <c r="E21" s="373"/>
      <c r="F21" s="373"/>
      <c r="G21" s="373"/>
      <c r="H21" s="4"/>
      <c r="I21" s="5">
        <f>I15</f>
        <v>1075</v>
      </c>
      <c r="L21" s="20">
        <f>I35+I46+I71+I81</f>
        <v>708.60565374999999</v>
      </c>
    </row>
    <row r="22" spans="1:12" x14ac:dyDescent="0.2">
      <c r="A22" s="345" t="s">
        <v>3</v>
      </c>
      <c r="B22" s="373" t="s">
        <v>24</v>
      </c>
      <c r="C22" s="373"/>
      <c r="D22" s="373"/>
      <c r="E22" s="373"/>
      <c r="F22" s="373"/>
      <c r="G22" s="373"/>
      <c r="H22" s="6"/>
      <c r="I22" s="5">
        <v>0</v>
      </c>
      <c r="L22" s="53">
        <f>L21/I28</f>
        <v>0.65916805000000001</v>
      </c>
    </row>
    <row r="23" spans="1:12" x14ac:dyDescent="0.2">
      <c r="A23" s="345" t="s">
        <v>5</v>
      </c>
      <c r="B23" s="373" t="s">
        <v>25</v>
      </c>
      <c r="C23" s="373"/>
      <c r="D23" s="373"/>
      <c r="E23" s="373"/>
      <c r="F23" s="373"/>
      <c r="G23" s="373"/>
      <c r="H23" s="6">
        <v>0</v>
      </c>
      <c r="I23" s="5">
        <f>I21*H23</f>
        <v>0</v>
      </c>
    </row>
    <row r="24" spans="1:12" x14ac:dyDescent="0.2">
      <c r="A24" s="345" t="s">
        <v>7</v>
      </c>
      <c r="B24" s="373" t="s">
        <v>26</v>
      </c>
      <c r="C24" s="373"/>
      <c r="D24" s="373"/>
      <c r="E24" s="373"/>
      <c r="F24" s="373"/>
      <c r="G24" s="373"/>
      <c r="H24" s="6"/>
      <c r="I24" s="5">
        <v>0</v>
      </c>
    </row>
    <row r="25" spans="1:12" x14ac:dyDescent="0.2">
      <c r="A25" s="345" t="s">
        <v>27</v>
      </c>
      <c r="B25" s="373" t="s">
        <v>28</v>
      </c>
      <c r="C25" s="373"/>
      <c r="D25" s="373"/>
      <c r="E25" s="373"/>
      <c r="F25" s="373"/>
      <c r="G25" s="373"/>
      <c r="H25" s="6"/>
      <c r="I25" s="5">
        <v>0</v>
      </c>
    </row>
    <row r="26" spans="1:12" x14ac:dyDescent="0.2">
      <c r="A26" s="345" t="s">
        <v>29</v>
      </c>
      <c r="B26" s="373" t="s">
        <v>30</v>
      </c>
      <c r="C26" s="373"/>
      <c r="D26" s="373"/>
      <c r="E26" s="373"/>
      <c r="F26" s="373"/>
      <c r="G26" s="373"/>
      <c r="H26" s="6"/>
      <c r="I26" s="5">
        <v>0</v>
      </c>
    </row>
    <row r="27" spans="1:12" x14ac:dyDescent="0.2">
      <c r="A27" s="345"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1075</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345" t="s">
        <v>21</v>
      </c>
      <c r="I31" s="345" t="s">
        <v>22</v>
      </c>
      <c r="J31" s="48"/>
    </row>
    <row r="32" spans="1:12" x14ac:dyDescent="0.2">
      <c r="A32" s="345" t="s">
        <v>1</v>
      </c>
      <c r="B32" s="373" t="s">
        <v>36</v>
      </c>
      <c r="C32" s="373"/>
      <c r="D32" s="373"/>
      <c r="E32" s="373"/>
      <c r="F32" s="373"/>
      <c r="G32" s="373"/>
      <c r="H32" s="10">
        <v>8.3299999999999999E-2</v>
      </c>
      <c r="I32" s="5">
        <f>$I$28*H32</f>
        <v>89.547499999999999</v>
      </c>
      <c r="J32" s="48"/>
    </row>
    <row r="33" spans="1:11" x14ac:dyDescent="0.2">
      <c r="A33" s="345" t="s">
        <v>3</v>
      </c>
      <c r="B33" s="373" t="s">
        <v>185</v>
      </c>
      <c r="C33" s="373"/>
      <c r="D33" s="373"/>
      <c r="E33" s="373"/>
      <c r="F33" s="373"/>
      <c r="G33" s="373"/>
      <c r="H33" s="11">
        <v>2.7799999999999998E-2</v>
      </c>
      <c r="I33" s="5">
        <f>H33*I28</f>
        <v>29.884999999999998</v>
      </c>
      <c r="J33" s="48"/>
    </row>
    <row r="34" spans="1:11" x14ac:dyDescent="0.2">
      <c r="A34" s="345" t="s">
        <v>132</v>
      </c>
      <c r="B34" s="373" t="s">
        <v>133</v>
      </c>
      <c r="C34" s="373"/>
      <c r="D34" s="373"/>
      <c r="E34" s="373"/>
      <c r="F34" s="373"/>
      <c r="G34" s="373"/>
      <c r="H34" s="11">
        <f>(H32+H33)*H46</f>
        <v>3.9784910000000007E-2</v>
      </c>
      <c r="I34" s="5">
        <f>I28*H34</f>
        <v>42.768778250000004</v>
      </c>
      <c r="J34" s="48"/>
    </row>
    <row r="35" spans="1:11" x14ac:dyDescent="0.2">
      <c r="A35" s="389" t="s">
        <v>37</v>
      </c>
      <c r="B35" s="389"/>
      <c r="C35" s="389"/>
      <c r="D35" s="389"/>
      <c r="E35" s="389"/>
      <c r="F35" s="389"/>
      <c r="G35" s="389"/>
      <c r="H35" s="12">
        <f>TRUNC(SUM(H32:H33),4)</f>
        <v>0.1111</v>
      </c>
      <c r="I35" s="13">
        <f>SUM(I32:I34)</f>
        <v>162.20127825</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345" t="s">
        <v>21</v>
      </c>
      <c r="I37" s="345" t="s">
        <v>22</v>
      </c>
      <c r="J37" s="48"/>
      <c r="K37" s="404"/>
    </row>
    <row r="38" spans="1:11" x14ac:dyDescent="0.2">
      <c r="A38" s="345" t="s">
        <v>1</v>
      </c>
      <c r="B38" s="373" t="s">
        <v>39</v>
      </c>
      <c r="C38" s="373"/>
      <c r="D38" s="373"/>
      <c r="E38" s="373"/>
      <c r="F38" s="373"/>
      <c r="G38" s="373"/>
      <c r="H38" s="10">
        <v>0.2</v>
      </c>
      <c r="I38" s="5">
        <f>($I$28)*H38</f>
        <v>215</v>
      </c>
      <c r="J38" s="48"/>
      <c r="K38" s="404"/>
    </row>
    <row r="39" spans="1:11" x14ac:dyDescent="0.2">
      <c r="A39" s="345" t="s">
        <v>3</v>
      </c>
      <c r="B39" s="373" t="s">
        <v>40</v>
      </c>
      <c r="C39" s="373"/>
      <c r="D39" s="373"/>
      <c r="E39" s="373"/>
      <c r="F39" s="373"/>
      <c r="G39" s="373"/>
      <c r="H39" s="10">
        <v>2.5000000000000001E-2</v>
      </c>
      <c r="I39" s="5">
        <f t="shared" ref="I39:I45" si="0">($I$28)*H39</f>
        <v>26.875</v>
      </c>
      <c r="J39" s="48"/>
      <c r="K39" s="404"/>
    </row>
    <row r="40" spans="1:11" x14ac:dyDescent="0.2">
      <c r="A40" s="345" t="s">
        <v>5</v>
      </c>
      <c r="B40" s="373" t="s">
        <v>41</v>
      </c>
      <c r="C40" s="373"/>
      <c r="D40" s="373"/>
      <c r="E40" s="373"/>
      <c r="F40" s="373"/>
      <c r="G40" s="373"/>
      <c r="H40" s="10">
        <v>2.01E-2</v>
      </c>
      <c r="I40" s="5">
        <f t="shared" si="0"/>
        <v>21.607499999999998</v>
      </c>
      <c r="J40" s="48"/>
      <c r="K40" s="404"/>
    </row>
    <row r="41" spans="1:11" x14ac:dyDescent="0.2">
      <c r="A41" s="345" t="s">
        <v>7</v>
      </c>
      <c r="B41" s="373" t="s">
        <v>42</v>
      </c>
      <c r="C41" s="373"/>
      <c r="D41" s="373"/>
      <c r="E41" s="373"/>
      <c r="F41" s="373"/>
      <c r="G41" s="373"/>
      <c r="H41" s="10">
        <v>1.4999999999999999E-2</v>
      </c>
      <c r="I41" s="5">
        <f t="shared" si="0"/>
        <v>16.125</v>
      </c>
      <c r="J41" s="48"/>
      <c r="K41" s="404"/>
    </row>
    <row r="42" spans="1:11" x14ac:dyDescent="0.2">
      <c r="A42" s="345" t="s">
        <v>27</v>
      </c>
      <c r="B42" s="373" t="s">
        <v>43</v>
      </c>
      <c r="C42" s="373"/>
      <c r="D42" s="373"/>
      <c r="E42" s="373"/>
      <c r="F42" s="373"/>
      <c r="G42" s="373"/>
      <c r="H42" s="10">
        <v>0.01</v>
      </c>
      <c r="I42" s="5">
        <f t="shared" si="0"/>
        <v>10.75</v>
      </c>
      <c r="J42" s="48"/>
      <c r="K42" s="404"/>
    </row>
    <row r="43" spans="1:11" x14ac:dyDescent="0.2">
      <c r="A43" s="345" t="s">
        <v>29</v>
      </c>
      <c r="B43" s="373" t="s">
        <v>44</v>
      </c>
      <c r="C43" s="373"/>
      <c r="D43" s="373"/>
      <c r="E43" s="373"/>
      <c r="F43" s="373"/>
      <c r="G43" s="373"/>
      <c r="H43" s="10">
        <v>6.0000000000000001E-3</v>
      </c>
      <c r="I43" s="5">
        <f t="shared" si="0"/>
        <v>6.45</v>
      </c>
      <c r="J43" s="48"/>
      <c r="K43" s="404"/>
    </row>
    <row r="44" spans="1:11" x14ac:dyDescent="0.2">
      <c r="A44" s="345" t="s">
        <v>31</v>
      </c>
      <c r="B44" s="373" t="s">
        <v>45</v>
      </c>
      <c r="C44" s="373"/>
      <c r="D44" s="373"/>
      <c r="E44" s="373"/>
      <c r="F44" s="373"/>
      <c r="G44" s="373"/>
      <c r="H44" s="10">
        <v>2E-3</v>
      </c>
      <c r="I44" s="5">
        <f t="shared" si="0"/>
        <v>2.15</v>
      </c>
      <c r="J44" s="48"/>
      <c r="K44" s="404"/>
    </row>
    <row r="45" spans="1:11" x14ac:dyDescent="0.2">
      <c r="A45" s="345" t="s">
        <v>46</v>
      </c>
      <c r="B45" s="373" t="s">
        <v>47</v>
      </c>
      <c r="C45" s="373"/>
      <c r="D45" s="373"/>
      <c r="E45" s="373"/>
      <c r="F45" s="373"/>
      <c r="G45" s="373"/>
      <c r="H45" s="10">
        <v>0.08</v>
      </c>
      <c r="I45" s="5">
        <f t="shared" si="0"/>
        <v>86</v>
      </c>
      <c r="J45" s="48"/>
      <c r="K45" s="404"/>
    </row>
    <row r="46" spans="1:11" x14ac:dyDescent="0.2">
      <c r="A46" s="389" t="s">
        <v>48</v>
      </c>
      <c r="B46" s="389"/>
      <c r="C46" s="389"/>
      <c r="D46" s="389"/>
      <c r="E46" s="389"/>
      <c r="F46" s="389"/>
      <c r="G46" s="389"/>
      <c r="H46" s="12">
        <f>SUM(H38:H45)</f>
        <v>0.35810000000000003</v>
      </c>
      <c r="I46" s="13">
        <f>(SUM(I38:I45))</f>
        <v>384.95749999999998</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345" t="s">
        <v>22</v>
      </c>
      <c r="J48" s="48"/>
    </row>
    <row r="49" spans="1:10" x14ac:dyDescent="0.2">
      <c r="A49" s="345" t="s">
        <v>1</v>
      </c>
      <c r="B49" s="393" t="s">
        <v>125</v>
      </c>
      <c r="C49" s="393"/>
      <c r="D49" s="393"/>
      <c r="E49" s="393"/>
      <c r="F49" s="393"/>
      <c r="G49" s="393"/>
      <c r="H49" s="55">
        <v>0</v>
      </c>
      <c r="I49" s="14">
        <v>0</v>
      </c>
      <c r="J49" s="48"/>
    </row>
    <row r="50" spans="1:10" x14ac:dyDescent="0.2">
      <c r="A50" s="345" t="s">
        <v>3</v>
      </c>
      <c r="B50" s="393" t="s">
        <v>124</v>
      </c>
      <c r="C50" s="393"/>
      <c r="D50" s="393"/>
      <c r="E50" s="393"/>
      <c r="F50" s="393"/>
      <c r="G50" s="393"/>
      <c r="H50" s="55">
        <v>418</v>
      </c>
      <c r="I50" s="15">
        <f>H50*0.8</f>
        <v>334.40000000000003</v>
      </c>
      <c r="J50" s="49"/>
    </row>
    <row r="51" spans="1:10" x14ac:dyDescent="0.2">
      <c r="A51" s="345" t="s">
        <v>5</v>
      </c>
      <c r="B51" s="393" t="s">
        <v>126</v>
      </c>
      <c r="C51" s="393"/>
      <c r="D51" s="393"/>
      <c r="E51" s="393"/>
      <c r="F51" s="393"/>
      <c r="G51" s="393"/>
      <c r="H51" s="55">
        <v>0</v>
      </c>
      <c r="I51" s="14">
        <f>H51</f>
        <v>0</v>
      </c>
      <c r="J51" s="48"/>
    </row>
    <row r="52" spans="1:10" x14ac:dyDescent="0.2">
      <c r="A52" s="345" t="s">
        <v>7</v>
      </c>
      <c r="B52" s="397" t="s">
        <v>127</v>
      </c>
      <c r="C52" s="398"/>
      <c r="D52" s="398"/>
      <c r="E52" s="398"/>
      <c r="F52" s="398"/>
      <c r="G52" s="399"/>
      <c r="H52" s="55">
        <v>0</v>
      </c>
      <c r="I52" s="14">
        <f>H52</f>
        <v>0</v>
      </c>
      <c r="J52" s="48"/>
    </row>
    <row r="53" spans="1:10" x14ac:dyDescent="0.2">
      <c r="A53" s="345"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342.40000000000003</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345" t="s">
        <v>22</v>
      </c>
      <c r="J57" s="48"/>
    </row>
    <row r="58" spans="1:10" x14ac:dyDescent="0.2">
      <c r="A58" s="345" t="s">
        <v>54</v>
      </c>
      <c r="B58" s="370" t="s">
        <v>55</v>
      </c>
      <c r="C58" s="370"/>
      <c r="D58" s="370"/>
      <c r="E58" s="370"/>
      <c r="F58" s="370"/>
      <c r="G58" s="370"/>
      <c r="H58" s="370"/>
      <c r="I58" s="16">
        <f>I35</f>
        <v>162.20127825</v>
      </c>
      <c r="J58" s="48"/>
    </row>
    <row r="59" spans="1:10" x14ac:dyDescent="0.2">
      <c r="A59" s="345" t="s">
        <v>56</v>
      </c>
      <c r="B59" s="370" t="s">
        <v>57</v>
      </c>
      <c r="C59" s="370"/>
      <c r="D59" s="370"/>
      <c r="E59" s="370"/>
      <c r="F59" s="370"/>
      <c r="G59" s="370"/>
      <c r="H59" s="370"/>
      <c r="I59" s="16">
        <f>I46</f>
        <v>384.95749999999998</v>
      </c>
      <c r="J59" s="48"/>
    </row>
    <row r="60" spans="1:10" x14ac:dyDescent="0.2">
      <c r="A60" s="345" t="s">
        <v>58</v>
      </c>
      <c r="B60" s="370" t="s">
        <v>59</v>
      </c>
      <c r="C60" s="370"/>
      <c r="D60" s="370"/>
      <c r="E60" s="370"/>
      <c r="F60" s="370"/>
      <c r="G60" s="370"/>
      <c r="H60" s="370"/>
      <c r="I60" s="16">
        <f>I54</f>
        <v>342.40000000000003</v>
      </c>
      <c r="J60" s="48"/>
    </row>
    <row r="61" spans="1:10" x14ac:dyDescent="0.2">
      <c r="A61" s="389" t="s">
        <v>60</v>
      </c>
      <c r="B61" s="389"/>
      <c r="C61" s="389"/>
      <c r="D61" s="389"/>
      <c r="E61" s="389"/>
      <c r="F61" s="389"/>
      <c r="G61" s="389"/>
      <c r="H61" s="389"/>
      <c r="I61" s="13">
        <f>(SUM(I58:I60))</f>
        <v>889.55877824999993</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345">
        <v>3</v>
      </c>
      <c r="B64" s="389" t="s">
        <v>62</v>
      </c>
      <c r="C64" s="389"/>
      <c r="D64" s="389"/>
      <c r="E64" s="389"/>
      <c r="F64" s="389"/>
      <c r="G64" s="389"/>
      <c r="H64" s="345" t="s">
        <v>21</v>
      </c>
      <c r="I64" s="345" t="s">
        <v>22</v>
      </c>
      <c r="J64" s="48"/>
    </row>
    <row r="65" spans="1:11" x14ac:dyDescent="0.2">
      <c r="A65" s="345" t="s">
        <v>1</v>
      </c>
      <c r="B65" s="373" t="s">
        <v>63</v>
      </c>
      <c r="C65" s="373"/>
      <c r="D65" s="373"/>
      <c r="E65" s="373"/>
      <c r="F65" s="373"/>
      <c r="G65" s="373"/>
      <c r="H65" s="17">
        <v>4.1999999999999997E-3</v>
      </c>
      <c r="I65" s="16">
        <f>$I$28*H65</f>
        <v>4.5149999999999997</v>
      </c>
      <c r="J65" s="48"/>
    </row>
    <row r="66" spans="1:11" x14ac:dyDescent="0.2">
      <c r="A66" s="345" t="s">
        <v>3</v>
      </c>
      <c r="B66" s="373" t="s">
        <v>64</v>
      </c>
      <c r="C66" s="373"/>
      <c r="D66" s="373"/>
      <c r="E66" s="373"/>
      <c r="F66" s="373"/>
      <c r="G66" s="373"/>
      <c r="H66" s="17">
        <f>H45*H65</f>
        <v>3.3599999999999998E-4</v>
      </c>
      <c r="I66" s="5">
        <f>H66*I28</f>
        <v>0.36119999999999997</v>
      </c>
      <c r="J66" s="48"/>
    </row>
    <row r="67" spans="1:11" x14ac:dyDescent="0.2">
      <c r="A67" s="345" t="s">
        <v>5</v>
      </c>
      <c r="B67" s="373" t="s">
        <v>65</v>
      </c>
      <c r="C67" s="373"/>
      <c r="D67" s="373"/>
      <c r="E67" s="373"/>
      <c r="F67" s="373"/>
      <c r="G67" s="373"/>
      <c r="H67" s="18">
        <v>0.01</v>
      </c>
      <c r="I67" s="5">
        <f>$I$28*H67</f>
        <v>10.75</v>
      </c>
      <c r="J67" s="48"/>
    </row>
    <row r="68" spans="1:11" x14ac:dyDescent="0.2">
      <c r="A68" s="345" t="s">
        <v>7</v>
      </c>
      <c r="B68" s="373" t="s">
        <v>66</v>
      </c>
      <c r="C68" s="373"/>
      <c r="D68" s="373"/>
      <c r="E68" s="373"/>
      <c r="F68" s="373"/>
      <c r="G68" s="373"/>
      <c r="H68" s="46">
        <v>1.9400000000000001E-2</v>
      </c>
      <c r="I68" s="5">
        <f>$I$28*H68</f>
        <v>20.855</v>
      </c>
      <c r="J68" s="48"/>
    </row>
    <row r="69" spans="1:11" x14ac:dyDescent="0.2">
      <c r="A69" s="345" t="s">
        <v>27</v>
      </c>
      <c r="B69" s="373" t="s">
        <v>67</v>
      </c>
      <c r="C69" s="373"/>
      <c r="D69" s="373"/>
      <c r="E69" s="373"/>
      <c r="F69" s="373"/>
      <c r="G69" s="373"/>
      <c r="H69" s="19">
        <f>H46*H68</f>
        <v>6.947140000000001E-3</v>
      </c>
      <c r="I69" s="5">
        <f>$I$28*H69</f>
        <v>7.468175500000001</v>
      </c>
      <c r="J69" s="48"/>
    </row>
    <row r="70" spans="1:11" x14ac:dyDescent="0.2">
      <c r="A70" s="345" t="s">
        <v>29</v>
      </c>
      <c r="B70" s="373" t="s">
        <v>68</v>
      </c>
      <c r="C70" s="373"/>
      <c r="D70" s="373"/>
      <c r="E70" s="373"/>
      <c r="F70" s="373"/>
      <c r="G70" s="373"/>
      <c r="H70" s="54">
        <v>2.1999999999999999E-2</v>
      </c>
      <c r="I70" s="5">
        <f>$I$28*H70</f>
        <v>23.65</v>
      </c>
      <c r="J70" s="48"/>
      <c r="K70" s="20"/>
    </row>
    <row r="71" spans="1:11" x14ac:dyDescent="0.2">
      <c r="A71" s="389" t="s">
        <v>69</v>
      </c>
      <c r="B71" s="389"/>
      <c r="C71" s="389"/>
      <c r="D71" s="389"/>
      <c r="E71" s="389"/>
      <c r="F71" s="389"/>
      <c r="G71" s="389"/>
      <c r="H71" s="12">
        <f>TRUNC(SUM(H65:H70),4)</f>
        <v>6.2799999999999995E-2</v>
      </c>
      <c r="I71" s="13">
        <f>(SUM(I65:I70))</f>
        <v>67.599375500000008</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345" t="s">
        <v>21</v>
      </c>
      <c r="I74" s="345" t="s">
        <v>22</v>
      </c>
      <c r="J74" s="48"/>
    </row>
    <row r="75" spans="1:11" x14ac:dyDescent="0.2">
      <c r="A75" s="345" t="s">
        <v>1</v>
      </c>
      <c r="B75" s="373" t="s">
        <v>186</v>
      </c>
      <c r="C75" s="373"/>
      <c r="D75" s="373"/>
      <c r="E75" s="373"/>
      <c r="F75" s="373"/>
      <c r="G75" s="373"/>
      <c r="H75" s="148">
        <v>8.3299999999999999E-2</v>
      </c>
      <c r="I75" s="5">
        <f t="shared" ref="I75:I80" si="1">$I$28*H75</f>
        <v>89.547499999999999</v>
      </c>
      <c r="J75" s="48"/>
    </row>
    <row r="76" spans="1:11" x14ac:dyDescent="0.2">
      <c r="A76" s="345" t="s">
        <v>3</v>
      </c>
      <c r="B76" s="373" t="s">
        <v>187</v>
      </c>
      <c r="C76" s="373"/>
      <c r="D76" s="373"/>
      <c r="E76" s="373"/>
      <c r="F76" s="373"/>
      <c r="G76" s="373"/>
      <c r="H76" s="148">
        <v>2.8E-3</v>
      </c>
      <c r="I76" s="16">
        <f t="shared" si="1"/>
        <v>3.01</v>
      </c>
      <c r="J76" s="48"/>
    </row>
    <row r="77" spans="1:11" x14ac:dyDescent="0.2">
      <c r="A77" s="345" t="s">
        <v>5</v>
      </c>
      <c r="B77" s="373" t="s">
        <v>188</v>
      </c>
      <c r="C77" s="373"/>
      <c r="D77" s="373"/>
      <c r="E77" s="373"/>
      <c r="F77" s="373"/>
      <c r="G77" s="373"/>
      <c r="H77" s="17">
        <v>2.0000000000000001E-4</v>
      </c>
      <c r="I77" s="16">
        <f t="shared" si="1"/>
        <v>0.215</v>
      </c>
      <c r="J77" s="48"/>
    </row>
    <row r="78" spans="1:11" x14ac:dyDescent="0.2">
      <c r="A78" s="345" t="s">
        <v>7</v>
      </c>
      <c r="B78" s="373" t="s">
        <v>189</v>
      </c>
      <c r="C78" s="373"/>
      <c r="D78" s="373"/>
      <c r="E78" s="373"/>
      <c r="F78" s="373"/>
      <c r="G78" s="373"/>
      <c r="H78" s="148">
        <v>2.9999999999999997E-4</v>
      </c>
      <c r="I78" s="16">
        <f t="shared" si="1"/>
        <v>0.32249999999999995</v>
      </c>
      <c r="J78" s="48"/>
    </row>
    <row r="79" spans="1:11" x14ac:dyDescent="0.2">
      <c r="A79" s="345" t="s">
        <v>27</v>
      </c>
      <c r="B79" s="373" t="s">
        <v>190</v>
      </c>
      <c r="C79" s="373"/>
      <c r="D79" s="373"/>
      <c r="E79" s="373"/>
      <c r="F79" s="373"/>
      <c r="G79" s="373"/>
      <c r="H79" s="17">
        <v>6.9999999999999999E-4</v>
      </c>
      <c r="I79" s="16">
        <f t="shared" si="1"/>
        <v>0.75249999999999995</v>
      </c>
      <c r="J79" s="48"/>
    </row>
    <row r="80" spans="1:11" x14ac:dyDescent="0.2">
      <c r="A80" s="345"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93.847500000000011</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345" t="s">
        <v>21</v>
      </c>
      <c r="I83" s="345" t="s">
        <v>22</v>
      </c>
      <c r="J83" s="48"/>
    </row>
    <row r="84" spans="1:10" x14ac:dyDescent="0.2">
      <c r="A84" s="345"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345" t="s">
        <v>22</v>
      </c>
      <c r="J88" s="48"/>
    </row>
    <row r="89" spans="1:10" x14ac:dyDescent="0.2">
      <c r="A89" s="345" t="s">
        <v>77</v>
      </c>
      <c r="B89" s="370" t="s">
        <v>193</v>
      </c>
      <c r="C89" s="370"/>
      <c r="D89" s="370"/>
      <c r="E89" s="370"/>
      <c r="F89" s="370"/>
      <c r="G89" s="370"/>
      <c r="H89" s="370"/>
      <c r="I89" s="16">
        <f>I81</f>
        <v>93.847500000000011</v>
      </c>
      <c r="J89" s="48"/>
    </row>
    <row r="90" spans="1:10" x14ac:dyDescent="0.2">
      <c r="A90" s="345" t="s">
        <v>78</v>
      </c>
      <c r="B90" s="370" t="s">
        <v>194</v>
      </c>
      <c r="C90" s="370"/>
      <c r="D90" s="370"/>
      <c r="E90" s="370"/>
      <c r="F90" s="370"/>
      <c r="G90" s="370"/>
      <c r="H90" s="370"/>
      <c r="I90" s="16">
        <f>I85</f>
        <v>0</v>
      </c>
      <c r="J90" s="48"/>
    </row>
    <row r="91" spans="1:10" x14ac:dyDescent="0.2">
      <c r="A91" s="345" t="s">
        <v>46</v>
      </c>
      <c r="B91" s="370" t="s">
        <v>195</v>
      </c>
      <c r="C91" s="370"/>
      <c r="D91" s="370"/>
      <c r="E91" s="370"/>
      <c r="F91" s="370"/>
      <c r="G91" s="370"/>
      <c r="H91" s="370"/>
      <c r="I91" s="16">
        <f>(H81*H46)*I89</f>
        <v>2.9338727451750009</v>
      </c>
      <c r="J91" s="48"/>
    </row>
    <row r="92" spans="1:10" x14ac:dyDescent="0.2">
      <c r="A92" s="389" t="s">
        <v>79</v>
      </c>
      <c r="B92" s="389"/>
      <c r="C92" s="389"/>
      <c r="D92" s="389"/>
      <c r="E92" s="389"/>
      <c r="F92" s="389"/>
      <c r="G92" s="389"/>
      <c r="H92" s="389"/>
      <c r="I92" s="13">
        <f>(SUM(I89:I90))</f>
        <v>93.847500000000011</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345">
        <v>5</v>
      </c>
      <c r="B95" s="389" t="s">
        <v>81</v>
      </c>
      <c r="C95" s="389"/>
      <c r="D95" s="389"/>
      <c r="E95" s="389"/>
      <c r="F95" s="389"/>
      <c r="G95" s="389"/>
      <c r="H95" s="345"/>
      <c r="I95" s="345" t="s">
        <v>22</v>
      </c>
      <c r="J95" s="48"/>
    </row>
    <row r="96" spans="1:10" x14ac:dyDescent="0.2">
      <c r="A96" s="345" t="s">
        <v>1</v>
      </c>
      <c r="B96" s="393" t="s">
        <v>82</v>
      </c>
      <c r="C96" s="393"/>
      <c r="D96" s="393"/>
      <c r="E96" s="393"/>
      <c r="F96" s="393"/>
      <c r="G96" s="393"/>
      <c r="H96" s="340" t="s">
        <v>50</v>
      </c>
      <c r="I96" s="66">
        <f>UNIFORME!F10</f>
        <v>28.666666666666668</v>
      </c>
      <c r="J96" s="48"/>
    </row>
    <row r="97" spans="1:13" x14ac:dyDescent="0.2">
      <c r="A97" s="345" t="s">
        <v>3</v>
      </c>
      <c r="B97" s="393" t="s">
        <v>83</v>
      </c>
      <c r="C97" s="393"/>
      <c r="D97" s="393"/>
      <c r="E97" s="393"/>
      <c r="F97" s="393"/>
      <c r="G97" s="393"/>
      <c r="H97" s="340" t="s">
        <v>50</v>
      </c>
      <c r="I97" s="16">
        <f>MATERIAL!H104</f>
        <v>1296.4523297491039</v>
      </c>
      <c r="J97" s="48"/>
      <c r="K97" s="350">
        <f>I97*94</f>
        <v>121866.51899641576</v>
      </c>
    </row>
    <row r="98" spans="1:13" x14ac:dyDescent="0.2">
      <c r="A98" s="21" t="s">
        <v>5</v>
      </c>
      <c r="B98" s="393" t="s">
        <v>84</v>
      </c>
      <c r="C98" s="393"/>
      <c r="D98" s="393"/>
      <c r="E98" s="393"/>
      <c r="F98" s="393"/>
      <c r="G98" s="393"/>
      <c r="H98" s="340" t="s">
        <v>50</v>
      </c>
      <c r="I98" s="16">
        <f>MATERIAL!I123</f>
        <v>30.513888888888889</v>
      </c>
      <c r="J98" s="48"/>
      <c r="K98" s="350">
        <f>I98*94</f>
        <v>2868.3055555555557</v>
      </c>
    </row>
    <row r="99" spans="1:13" x14ac:dyDescent="0.2">
      <c r="A99" s="21" t="s">
        <v>7</v>
      </c>
      <c r="B99" s="393" t="s">
        <v>435</v>
      </c>
      <c r="C99" s="393"/>
      <c r="D99" s="393"/>
      <c r="E99" s="393"/>
      <c r="F99" s="393"/>
      <c r="G99" s="393"/>
      <c r="H99" s="340" t="s">
        <v>50</v>
      </c>
      <c r="I99" s="16">
        <f>MATERIAL!H59</f>
        <v>20.76595744680851</v>
      </c>
      <c r="J99" s="48"/>
    </row>
    <row r="100" spans="1:13" x14ac:dyDescent="0.2">
      <c r="A100" s="389" t="s">
        <v>85</v>
      </c>
      <c r="B100" s="389"/>
      <c r="C100" s="389"/>
      <c r="D100" s="389"/>
      <c r="E100" s="389"/>
      <c r="F100" s="389"/>
      <c r="G100" s="389"/>
      <c r="H100" s="12" t="s">
        <v>50</v>
      </c>
      <c r="I100" s="13">
        <f>(SUM(I96:I99))</f>
        <v>1376.398842751468</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345">
        <v>6</v>
      </c>
      <c r="B103" s="389" t="s">
        <v>87</v>
      </c>
      <c r="C103" s="389"/>
      <c r="D103" s="389"/>
      <c r="E103" s="389"/>
      <c r="F103" s="389"/>
      <c r="G103" s="389"/>
      <c r="H103" s="345" t="s">
        <v>21</v>
      </c>
      <c r="I103" s="345" t="s">
        <v>22</v>
      </c>
      <c r="J103" s="48"/>
      <c r="K103" s="52">
        <f>'ANEXO VII'!M57</f>
        <v>197.15170301310718</v>
      </c>
    </row>
    <row r="104" spans="1:13" x14ac:dyDescent="0.2">
      <c r="A104" s="345" t="s">
        <v>1</v>
      </c>
      <c r="B104" s="373" t="s">
        <v>88</v>
      </c>
      <c r="C104" s="373"/>
      <c r="D104" s="373"/>
      <c r="E104" s="373"/>
      <c r="F104" s="373"/>
      <c r="G104" s="373"/>
      <c r="H104" s="22">
        <v>5.21E-2</v>
      </c>
      <c r="I104" s="16">
        <f>I120*H104</f>
        <v>182.47527426772649</v>
      </c>
      <c r="J104" s="48"/>
      <c r="M104" s="52"/>
    </row>
    <row r="105" spans="1:13" x14ac:dyDescent="0.2">
      <c r="A105" s="345" t="s">
        <v>3</v>
      </c>
      <c r="B105" s="373" t="s">
        <v>89</v>
      </c>
      <c r="C105" s="373"/>
      <c r="D105" s="373"/>
      <c r="E105" s="373"/>
      <c r="F105" s="373"/>
      <c r="G105" s="373"/>
      <c r="H105" s="22">
        <v>0.05</v>
      </c>
      <c r="I105" s="16">
        <f>(I120+I104)*H105</f>
        <v>184.24398853845975</v>
      </c>
      <c r="J105" s="48"/>
    </row>
    <row r="106" spans="1:13" x14ac:dyDescent="0.2">
      <c r="A106" s="345" t="s">
        <v>5</v>
      </c>
      <c r="B106" s="392" t="s">
        <v>90</v>
      </c>
      <c r="C106" s="392"/>
      <c r="D106" s="392"/>
      <c r="E106" s="392"/>
      <c r="F106" s="392"/>
      <c r="G106" s="392"/>
      <c r="H106" s="23">
        <f>H107+H108+H109</f>
        <v>8.6499999999999994E-2</v>
      </c>
      <c r="I106" s="24"/>
      <c r="J106" s="48"/>
    </row>
    <row r="107" spans="1:13" x14ac:dyDescent="0.2">
      <c r="A107" s="345" t="s">
        <v>91</v>
      </c>
      <c r="B107" s="373" t="s">
        <v>92</v>
      </c>
      <c r="C107" s="373"/>
      <c r="D107" s="373"/>
      <c r="E107" s="373"/>
      <c r="F107" s="373"/>
      <c r="G107" s="373"/>
      <c r="H107" s="25">
        <v>6.4999999999999997E-3</v>
      </c>
      <c r="I107" s="16">
        <f>K110*H107</f>
        <v>27.530710931034214</v>
      </c>
      <c r="J107" s="48"/>
      <c r="K107" s="65">
        <f>1-H106</f>
        <v>0.91349999999999998</v>
      </c>
    </row>
    <row r="108" spans="1:13" x14ac:dyDescent="0.2">
      <c r="A108" s="345" t="s">
        <v>93</v>
      </c>
      <c r="B108" s="373" t="s">
        <v>94</v>
      </c>
      <c r="C108" s="373"/>
      <c r="D108" s="373"/>
      <c r="E108" s="373"/>
      <c r="F108" s="373"/>
      <c r="G108" s="373"/>
      <c r="H108" s="25">
        <v>0.03</v>
      </c>
      <c r="I108" s="16">
        <f>K110*H108</f>
        <v>127.06481968169636</v>
      </c>
      <c r="J108" s="48"/>
      <c r="K108" s="45">
        <f>K107/1</f>
        <v>0.91349999999999998</v>
      </c>
    </row>
    <row r="109" spans="1:13" x14ac:dyDescent="0.2">
      <c r="A109" s="345" t="s">
        <v>95</v>
      </c>
      <c r="B109" s="373" t="s">
        <v>96</v>
      </c>
      <c r="C109" s="373"/>
      <c r="D109" s="373"/>
      <c r="E109" s="373"/>
      <c r="F109" s="373"/>
      <c r="G109" s="373"/>
      <c r="H109" s="26">
        <v>0.05</v>
      </c>
      <c r="I109" s="16">
        <f>K110*H109</f>
        <v>211.77469946949395</v>
      </c>
      <c r="J109" s="48"/>
      <c r="K109" s="20">
        <f>I120+I104+I105</f>
        <v>3869.1237593076544</v>
      </c>
    </row>
    <row r="110" spans="1:13" x14ac:dyDescent="0.2">
      <c r="A110" s="389" t="s">
        <v>97</v>
      </c>
      <c r="B110" s="389"/>
      <c r="C110" s="389"/>
      <c r="D110" s="389"/>
      <c r="E110" s="389"/>
      <c r="F110" s="389"/>
      <c r="G110" s="389"/>
      <c r="H110" s="25">
        <f>SUM(H104+H105+H106)</f>
        <v>0.18859999999999999</v>
      </c>
      <c r="I110" s="13">
        <f>(SUM(I104:I109))</f>
        <v>733.08949288841075</v>
      </c>
      <c r="J110" s="48"/>
      <c r="K110" s="20">
        <f>K109/K108</f>
        <v>4235.4939893898791</v>
      </c>
    </row>
    <row r="111" spans="1:13" x14ac:dyDescent="0.2">
      <c r="A111" s="342"/>
      <c r="B111" s="390"/>
      <c r="C111" s="390"/>
      <c r="D111" s="390"/>
      <c r="E111" s="390"/>
      <c r="F111" s="390"/>
      <c r="G111" s="390"/>
      <c r="H111" s="390"/>
      <c r="I111" s="390"/>
    </row>
    <row r="112" spans="1:13" x14ac:dyDescent="0.2">
      <c r="A112" s="342"/>
      <c r="B112" s="342"/>
      <c r="C112" s="342"/>
      <c r="D112" s="342"/>
      <c r="E112" s="342"/>
      <c r="F112" s="342"/>
      <c r="G112" s="342"/>
      <c r="H112" s="342"/>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345" t="s">
        <v>22</v>
      </c>
    </row>
    <row r="115" spans="1:12" x14ac:dyDescent="0.2">
      <c r="A115" s="340" t="s">
        <v>1</v>
      </c>
      <c r="B115" s="373" t="str">
        <f>A19</f>
        <v>MÓDULO 1 - COMPOSIÇÃO DA REMUNERAÇÃO</v>
      </c>
      <c r="C115" s="373"/>
      <c r="D115" s="373"/>
      <c r="E115" s="373"/>
      <c r="F115" s="373"/>
      <c r="G115" s="373"/>
      <c r="H115" s="373"/>
      <c r="I115" s="16">
        <f>I28</f>
        <v>1075</v>
      </c>
      <c r="K115" s="20"/>
      <c r="L115" s="53"/>
    </row>
    <row r="116" spans="1:12" x14ac:dyDescent="0.2">
      <c r="A116" s="340" t="s">
        <v>3</v>
      </c>
      <c r="B116" s="373" t="str">
        <f>A30</f>
        <v>MÓDULO 2 – ENCARGOS E BENEFÍCIOS ANUAIS, MENSAIS E DIÁRIOS</v>
      </c>
      <c r="C116" s="373"/>
      <c r="D116" s="373"/>
      <c r="E116" s="373"/>
      <c r="F116" s="373"/>
      <c r="G116" s="373"/>
      <c r="H116" s="373"/>
      <c r="I116" s="16">
        <f>I61</f>
        <v>889.55877824999993</v>
      </c>
    </row>
    <row r="117" spans="1:12" x14ac:dyDescent="0.2">
      <c r="A117" s="340" t="s">
        <v>5</v>
      </c>
      <c r="B117" s="373" t="str">
        <f>A63</f>
        <v>MÓDULO 3 – PROVISÃO PARA RESCISÃO</v>
      </c>
      <c r="C117" s="373"/>
      <c r="D117" s="373"/>
      <c r="E117" s="373"/>
      <c r="F117" s="373"/>
      <c r="G117" s="373"/>
      <c r="H117" s="373"/>
      <c r="I117" s="16">
        <f>I71</f>
        <v>67.599375500000008</v>
      </c>
    </row>
    <row r="118" spans="1:12" x14ac:dyDescent="0.2">
      <c r="A118" s="340" t="s">
        <v>7</v>
      </c>
      <c r="B118" s="373" t="str">
        <f>A73</f>
        <v>MÓDULO 4 – CUSTO DE REPOSIÇÃO DO PROFISSIONAL AUSENTE</v>
      </c>
      <c r="C118" s="373"/>
      <c r="D118" s="373"/>
      <c r="E118" s="373"/>
      <c r="F118" s="373"/>
      <c r="G118" s="373"/>
      <c r="H118" s="373"/>
      <c r="I118" s="16">
        <f>I92</f>
        <v>93.847500000000011</v>
      </c>
    </row>
    <row r="119" spans="1:12" x14ac:dyDescent="0.2">
      <c r="A119" s="340" t="s">
        <v>27</v>
      </c>
      <c r="B119" s="373" t="str">
        <f>A94</f>
        <v>MÓDULO 5 – INSUMOS DIVERSOS</v>
      </c>
      <c r="C119" s="373"/>
      <c r="D119" s="373"/>
      <c r="E119" s="373"/>
      <c r="F119" s="373"/>
      <c r="G119" s="373"/>
      <c r="H119" s="373"/>
      <c r="I119" s="16">
        <f>I100</f>
        <v>1376.398842751468</v>
      </c>
    </row>
    <row r="120" spans="1:12" x14ac:dyDescent="0.2">
      <c r="A120" s="345"/>
      <c r="B120" s="389" t="s">
        <v>100</v>
      </c>
      <c r="C120" s="389"/>
      <c r="D120" s="389"/>
      <c r="E120" s="389"/>
      <c r="F120" s="389"/>
      <c r="G120" s="389"/>
      <c r="H120" s="389"/>
      <c r="I120" s="13">
        <f>(SUM(I115:I119))</f>
        <v>3502.4044965014682</v>
      </c>
    </row>
    <row r="121" spans="1:12" x14ac:dyDescent="0.2">
      <c r="A121" s="340" t="s">
        <v>29</v>
      </c>
      <c r="B121" s="373" t="str">
        <f>A102</f>
        <v>MÓDULO 6 – CUSTOS INDIRETOS, TRIBUTOS E LUCRO</v>
      </c>
      <c r="C121" s="373"/>
      <c r="D121" s="373"/>
      <c r="E121" s="373"/>
      <c r="F121" s="373"/>
      <c r="G121" s="373"/>
      <c r="H121" s="373"/>
      <c r="I121" s="5">
        <f>I110</f>
        <v>733.08949288841075</v>
      </c>
    </row>
    <row r="122" spans="1:12" x14ac:dyDescent="0.2">
      <c r="A122" s="389" t="s">
        <v>101</v>
      </c>
      <c r="B122" s="389"/>
      <c r="C122" s="389"/>
      <c r="D122" s="389"/>
      <c r="E122" s="389"/>
      <c r="F122" s="389"/>
      <c r="G122" s="389"/>
      <c r="H122" s="389"/>
      <c r="I122" s="13">
        <f>(SUM(I120:I121))</f>
        <v>4235.4939893898791</v>
      </c>
      <c r="K122" s="350"/>
    </row>
    <row r="123" spans="1:12" ht="11.25" customHeight="1" x14ac:dyDescent="0.2">
      <c r="I123" s="20"/>
      <c r="K123" s="350"/>
    </row>
    <row r="124" spans="1:12" hidden="1" x14ac:dyDescent="0.2">
      <c r="A124" s="342"/>
      <c r="B124" s="379" t="s">
        <v>102</v>
      </c>
      <c r="C124" s="379"/>
      <c r="D124" s="379"/>
      <c r="E124" s="379"/>
      <c r="F124" s="379"/>
      <c r="G124" s="379"/>
      <c r="H124" s="8"/>
      <c r="I124" s="8"/>
      <c r="K124" s="350"/>
    </row>
    <row r="125" spans="1:12" ht="64.5" hidden="1" customHeight="1" thickBot="1" x14ac:dyDescent="0.25">
      <c r="A125" s="385" t="s">
        <v>103</v>
      </c>
      <c r="B125" s="385"/>
      <c r="C125" s="385" t="s">
        <v>104</v>
      </c>
      <c r="D125" s="385"/>
      <c r="E125" s="385" t="s">
        <v>105</v>
      </c>
      <c r="F125" s="385"/>
      <c r="G125" s="28" t="s">
        <v>106</v>
      </c>
      <c r="H125" s="344" t="s">
        <v>107</v>
      </c>
      <c r="I125" s="343"/>
      <c r="K125" s="350"/>
    </row>
    <row r="126" spans="1:12" hidden="1" x14ac:dyDescent="0.2">
      <c r="A126" s="386" t="s">
        <v>108</v>
      </c>
      <c r="B126" s="386"/>
      <c r="C126" s="387" t="s">
        <v>109</v>
      </c>
      <c r="D126" s="387"/>
      <c r="E126" s="388"/>
      <c r="F126" s="388"/>
      <c r="G126" s="29" t="s">
        <v>109</v>
      </c>
      <c r="H126" s="30"/>
      <c r="I126" s="31"/>
      <c r="K126" s="350"/>
    </row>
    <row r="127" spans="1:12" hidden="1" x14ac:dyDescent="0.2">
      <c r="A127" s="381" t="s">
        <v>110</v>
      </c>
      <c r="B127" s="381"/>
      <c r="C127" s="382" t="s">
        <v>109</v>
      </c>
      <c r="D127" s="382"/>
      <c r="E127" s="383"/>
      <c r="F127" s="383"/>
      <c r="G127" s="32" t="s">
        <v>109</v>
      </c>
      <c r="H127" s="33"/>
      <c r="I127" s="34"/>
      <c r="K127" s="350"/>
    </row>
    <row r="128" spans="1:12" hidden="1" x14ac:dyDescent="0.2">
      <c r="A128" s="381" t="s">
        <v>111</v>
      </c>
      <c r="B128" s="381"/>
      <c r="C128" s="382" t="s">
        <v>109</v>
      </c>
      <c r="D128" s="382"/>
      <c r="E128" s="383"/>
      <c r="F128" s="383"/>
      <c r="G128" s="32" t="s">
        <v>109</v>
      </c>
      <c r="H128" s="33"/>
      <c r="I128" s="34"/>
      <c r="K128" s="350"/>
    </row>
    <row r="129" spans="1:11" hidden="1" x14ac:dyDescent="0.2">
      <c r="A129" s="381" t="s">
        <v>112</v>
      </c>
      <c r="B129" s="381"/>
      <c r="C129" s="382" t="s">
        <v>109</v>
      </c>
      <c r="D129" s="382"/>
      <c r="E129" s="383"/>
      <c r="F129" s="383"/>
      <c r="G129" s="32" t="s">
        <v>109</v>
      </c>
      <c r="H129" s="33"/>
      <c r="I129" s="34"/>
      <c r="K129" s="350"/>
    </row>
    <row r="130" spans="1:11" hidden="1" x14ac:dyDescent="0.2">
      <c r="A130" s="384"/>
      <c r="B130" s="384"/>
      <c r="C130" s="383"/>
      <c r="D130" s="383"/>
      <c r="E130" s="383"/>
      <c r="F130" s="383"/>
      <c r="G130" s="35"/>
      <c r="H130" s="36"/>
      <c r="I130" s="34"/>
      <c r="K130" s="350"/>
    </row>
    <row r="131" spans="1:11" ht="13.5" hidden="1" thickBot="1" x14ac:dyDescent="0.25">
      <c r="A131" s="376"/>
      <c r="B131" s="376"/>
      <c r="C131" s="377"/>
      <c r="D131" s="377"/>
      <c r="E131" s="377"/>
      <c r="F131" s="377"/>
      <c r="G131" s="37"/>
      <c r="H131" s="38"/>
      <c r="I131" s="39"/>
      <c r="K131" s="350"/>
    </row>
    <row r="132" spans="1:11" ht="13.5" hidden="1" thickBot="1" x14ac:dyDescent="0.25">
      <c r="A132" s="378" t="s">
        <v>113</v>
      </c>
      <c r="B132" s="378"/>
      <c r="C132" s="378"/>
      <c r="D132" s="378"/>
      <c r="E132" s="378"/>
      <c r="F132" s="378"/>
      <c r="G132" s="378"/>
      <c r="H132" s="378"/>
      <c r="I132" s="40"/>
      <c r="K132" s="350"/>
    </row>
    <row r="133" spans="1:11" x14ac:dyDescent="0.2">
      <c r="I133" s="20"/>
    </row>
    <row r="134" spans="1:11" hidden="1" x14ac:dyDescent="0.2">
      <c r="A134" s="342"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341"/>
      <c r="B136" s="371" t="s">
        <v>117</v>
      </c>
      <c r="C136" s="371"/>
      <c r="D136" s="371"/>
      <c r="E136" s="371"/>
      <c r="F136" s="371"/>
      <c r="G136" s="371"/>
      <c r="H136" s="371"/>
      <c r="I136" s="343" t="s">
        <v>22</v>
      </c>
    </row>
    <row r="137" spans="1:11" hidden="1" x14ac:dyDescent="0.2">
      <c r="A137" s="41" t="s">
        <v>1</v>
      </c>
      <c r="B137" s="372" t="s">
        <v>118</v>
      </c>
      <c r="C137" s="372"/>
      <c r="D137" s="372"/>
      <c r="E137" s="372"/>
      <c r="F137" s="372"/>
      <c r="G137" s="372"/>
      <c r="H137" s="372"/>
      <c r="I137" s="42">
        <f>I107</f>
        <v>27.530710931034214</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733.08949288841075</v>
      </c>
    </row>
    <row r="140" spans="1:11" ht="13.5" hidden="1" thickBot="1" x14ac:dyDescent="0.25">
      <c r="A140" s="375" t="s">
        <v>121</v>
      </c>
      <c r="B140" s="375"/>
      <c r="C140" s="375"/>
      <c r="D140" s="375"/>
      <c r="E140" s="375"/>
      <c r="F140" s="375"/>
      <c r="G140" s="375"/>
      <c r="H140" s="375"/>
      <c r="I140" s="40" t="e">
        <f>SUM(I137:I139)</f>
        <v>#REF!</v>
      </c>
    </row>
    <row r="141" spans="1:11" hidden="1" x14ac:dyDescent="0.2">
      <c r="A141" s="342" t="s">
        <v>122</v>
      </c>
      <c r="B141" s="45" t="s">
        <v>123</v>
      </c>
    </row>
    <row r="144" spans="1:11" ht="15.75" thickBot="1" x14ac:dyDescent="0.25">
      <c r="A144" s="195" t="s">
        <v>242</v>
      </c>
      <c r="B144" s="195"/>
      <c r="C144" s="195"/>
      <c r="D144" s="195"/>
      <c r="E144" s="195"/>
      <c r="F144" s="195"/>
      <c r="G144" s="195"/>
      <c r="H144" s="195"/>
    </row>
    <row r="145" spans="1:8" ht="15" x14ac:dyDescent="0.2">
      <c r="A145" s="419" t="s">
        <v>243</v>
      </c>
      <c r="B145" s="420"/>
      <c r="C145" s="421"/>
      <c r="D145" s="196" t="s">
        <v>244</v>
      </c>
      <c r="E145" s="419" t="s">
        <v>245</v>
      </c>
      <c r="F145" s="421"/>
      <c r="G145" s="419" t="s">
        <v>246</v>
      </c>
      <c r="H145" s="421"/>
    </row>
    <row r="146" spans="1:8" ht="15.75" thickBot="1" x14ac:dyDescent="0.25">
      <c r="A146" s="197"/>
      <c r="B146" s="198"/>
      <c r="C146" s="199"/>
      <c r="D146" s="200" t="s">
        <v>247</v>
      </c>
      <c r="E146" s="422" t="s">
        <v>248</v>
      </c>
      <c r="F146" s="423"/>
      <c r="G146" s="422" t="s">
        <v>249</v>
      </c>
      <c r="H146" s="423"/>
    </row>
    <row r="147" spans="1:8" ht="15.75" thickBot="1" x14ac:dyDescent="0.25">
      <c r="A147" s="201" t="s">
        <v>134</v>
      </c>
      <c r="B147" s="202"/>
      <c r="C147" s="202"/>
      <c r="D147" s="203">
        <f>1/(30*1000)</f>
        <v>3.3333333333333335E-5</v>
      </c>
      <c r="E147" s="424">
        <v>0</v>
      </c>
      <c r="F147" s="425"/>
      <c r="G147" s="426">
        <f>D147*E147</f>
        <v>0</v>
      </c>
      <c r="H147" s="427"/>
    </row>
    <row r="148" spans="1:8" ht="15.75" thickBot="1" x14ac:dyDescent="0.25">
      <c r="A148" s="204" t="s">
        <v>140</v>
      </c>
      <c r="B148" s="205"/>
      <c r="C148" s="205"/>
      <c r="D148" s="206">
        <f>1/1000</f>
        <v>1E-3</v>
      </c>
      <c r="E148" s="428">
        <f>I122</f>
        <v>4235.4939893898791</v>
      </c>
      <c r="F148" s="418"/>
      <c r="G148" s="426">
        <f>D148*E148</f>
        <v>4.2354939893898793</v>
      </c>
      <c r="H148" s="427"/>
    </row>
    <row r="149" spans="1:8" ht="15.75" thickBot="1" x14ac:dyDescent="0.25">
      <c r="A149" s="417" t="s">
        <v>250</v>
      </c>
      <c r="B149" s="418"/>
      <c r="C149" s="418"/>
      <c r="D149" s="418"/>
      <c r="E149" s="418"/>
      <c r="F149" s="418"/>
      <c r="G149" s="204"/>
      <c r="H149" s="207">
        <f>SUM(G147:H148)</f>
        <v>4.2354939893898793</v>
      </c>
    </row>
  </sheetData>
  <mergeCells count="181">
    <mergeCell ref="B4:H4"/>
    <mergeCell ref="L4:M4"/>
    <mergeCell ref="N4:Q4"/>
    <mergeCell ref="R4:S4"/>
    <mergeCell ref="B5:H5"/>
    <mergeCell ref="K5:S5"/>
    <mergeCell ref="A2:I2"/>
    <mergeCell ref="K2:S2"/>
    <mergeCell ref="B3:H3"/>
    <mergeCell ref="L3:M3"/>
    <mergeCell ref="N3:Q3"/>
    <mergeCell ref="R3:S3"/>
    <mergeCell ref="B6:H6"/>
    <mergeCell ref="K6:S6"/>
    <mergeCell ref="K7:S7"/>
    <mergeCell ref="A8:I8"/>
    <mergeCell ref="K8:S8"/>
    <mergeCell ref="A9:B9"/>
    <mergeCell ref="C9:D9"/>
    <mergeCell ref="E9:I9"/>
    <mergeCell ref="L9:Q9"/>
    <mergeCell ref="R9:S9"/>
    <mergeCell ref="A12:I12"/>
    <mergeCell ref="L12:Q12"/>
    <mergeCell ref="R12:S12"/>
    <mergeCell ref="B13:H13"/>
    <mergeCell ref="B14:H14"/>
    <mergeCell ref="B15:H15"/>
    <mergeCell ref="A10:B10"/>
    <mergeCell ref="C10:D10"/>
    <mergeCell ref="E10:I10"/>
    <mergeCell ref="L10:Q10"/>
    <mergeCell ref="R10:S10"/>
    <mergeCell ref="L11:Q11"/>
    <mergeCell ref="R11:S11"/>
    <mergeCell ref="B22:G22"/>
    <mergeCell ref="B23:G23"/>
    <mergeCell ref="B24:G24"/>
    <mergeCell ref="B25:G25"/>
    <mergeCell ref="B26:G26"/>
    <mergeCell ref="B27:G27"/>
    <mergeCell ref="B16:H16"/>
    <mergeCell ref="B17:H17"/>
    <mergeCell ref="A18:I18"/>
    <mergeCell ref="A19:I19"/>
    <mergeCell ref="B20:G20"/>
    <mergeCell ref="B21:G21"/>
    <mergeCell ref="K37:K45"/>
    <mergeCell ref="B38:G38"/>
    <mergeCell ref="B39:G39"/>
    <mergeCell ref="B40:G40"/>
    <mergeCell ref="B41:G41"/>
    <mergeCell ref="B42:G42"/>
    <mergeCell ref="B43:G43"/>
    <mergeCell ref="A28:H28"/>
    <mergeCell ref="A30:I30"/>
    <mergeCell ref="A31:G31"/>
    <mergeCell ref="B32:G32"/>
    <mergeCell ref="B33:G33"/>
    <mergeCell ref="B34:G34"/>
    <mergeCell ref="B44:G44"/>
    <mergeCell ref="B45:G45"/>
    <mergeCell ref="A46:G46"/>
    <mergeCell ref="A47:I47"/>
    <mergeCell ref="A48:G48"/>
    <mergeCell ref="B49:G49"/>
    <mergeCell ref="A35:G35"/>
    <mergeCell ref="A36:I36"/>
    <mergeCell ref="A37:G37"/>
    <mergeCell ref="A56:I56"/>
    <mergeCell ref="A57:H57"/>
    <mergeCell ref="B58:H58"/>
    <mergeCell ref="B59:H59"/>
    <mergeCell ref="B60:H60"/>
    <mergeCell ref="A61:H61"/>
    <mergeCell ref="B50:G50"/>
    <mergeCell ref="B51:G51"/>
    <mergeCell ref="B52:G52"/>
    <mergeCell ref="B53:G53"/>
    <mergeCell ref="A54:H54"/>
    <mergeCell ref="A55:I55"/>
    <mergeCell ref="B68:G68"/>
    <mergeCell ref="B69:G69"/>
    <mergeCell ref="B70:G70"/>
    <mergeCell ref="A71:G71"/>
    <mergeCell ref="A72:I72"/>
    <mergeCell ref="A73:I73"/>
    <mergeCell ref="A62:I62"/>
    <mergeCell ref="A63:I63"/>
    <mergeCell ref="B64:G64"/>
    <mergeCell ref="B65:G65"/>
    <mergeCell ref="B66:G66"/>
    <mergeCell ref="B67:G67"/>
    <mergeCell ref="B80:G80"/>
    <mergeCell ref="A81:G81"/>
    <mergeCell ref="A82:I82"/>
    <mergeCell ref="A83:G83"/>
    <mergeCell ref="B84:G84"/>
    <mergeCell ref="A85:G85"/>
    <mergeCell ref="A74:G74"/>
    <mergeCell ref="B75:G75"/>
    <mergeCell ref="B76:G76"/>
    <mergeCell ref="B77:G77"/>
    <mergeCell ref="B78:G78"/>
    <mergeCell ref="B79:G79"/>
    <mergeCell ref="A92:H92"/>
    <mergeCell ref="A93:I93"/>
    <mergeCell ref="A94:I94"/>
    <mergeCell ref="B95:G95"/>
    <mergeCell ref="B96:G96"/>
    <mergeCell ref="B97:G97"/>
    <mergeCell ref="A86:I86"/>
    <mergeCell ref="A87:I87"/>
    <mergeCell ref="A88:H88"/>
    <mergeCell ref="B89:H89"/>
    <mergeCell ref="B90:H90"/>
    <mergeCell ref="B91:H91"/>
    <mergeCell ref="B104:G104"/>
    <mergeCell ref="B105:G105"/>
    <mergeCell ref="B106:G106"/>
    <mergeCell ref="B107:G107"/>
    <mergeCell ref="B108:G108"/>
    <mergeCell ref="B109:G109"/>
    <mergeCell ref="B98:G98"/>
    <mergeCell ref="B99:G99"/>
    <mergeCell ref="A100:G100"/>
    <mergeCell ref="A101:I101"/>
    <mergeCell ref="A102:I102"/>
    <mergeCell ref="B103:G103"/>
    <mergeCell ref="B117:H117"/>
    <mergeCell ref="B118:H118"/>
    <mergeCell ref="B119:H119"/>
    <mergeCell ref="B120:H120"/>
    <mergeCell ref="B121:H121"/>
    <mergeCell ref="A122:H122"/>
    <mergeCell ref="A110:G110"/>
    <mergeCell ref="B111:I111"/>
    <mergeCell ref="A113:I113"/>
    <mergeCell ref="A114:H114"/>
    <mergeCell ref="B115:H115"/>
    <mergeCell ref="B116:H116"/>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49:F149"/>
    <mergeCell ref="E146:F146"/>
    <mergeCell ref="G146:H146"/>
    <mergeCell ref="E147:F147"/>
    <mergeCell ref="G147:H147"/>
    <mergeCell ref="E148:F148"/>
    <mergeCell ref="G148:H148"/>
    <mergeCell ref="B136:H136"/>
    <mergeCell ref="B137:H137"/>
    <mergeCell ref="B138:H138"/>
    <mergeCell ref="B139:H139"/>
    <mergeCell ref="A140:H140"/>
    <mergeCell ref="A145:C145"/>
    <mergeCell ref="E145:F145"/>
    <mergeCell ref="G145:H145"/>
  </mergeCells>
  <pageMargins left="0.25" right="0.25" top="0.75" bottom="0.75" header="0.3" footer="0.3"/>
  <pageSetup paperSize="9" firstPageNumber="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69004-C0EB-4728-BFF6-464CEEB7CD69}">
  <sheetPr>
    <tabColor rgb="FF7030A0"/>
  </sheetPr>
  <dimension ref="A2:S148"/>
  <sheetViews>
    <sheetView tabSelected="1" topLeftCell="A99" zoomScale="118" zoomScaleNormal="118" workbookViewId="0">
      <selection activeCell="I104" sqref="I104"/>
    </sheetView>
  </sheetViews>
  <sheetFormatPr defaultColWidth="9.140625" defaultRowHeight="12.75" x14ac:dyDescent="0.2"/>
  <cols>
    <col min="1" max="3" width="9.140625" style="45"/>
    <col min="4" max="4" width="24" style="45" bestFit="1" customWidth="1"/>
    <col min="5" max="7" width="9.140625" style="45"/>
    <col min="8" max="8" width="11.140625" style="45" bestFit="1"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340" t="s">
        <v>1</v>
      </c>
      <c r="B3" s="373" t="s">
        <v>2</v>
      </c>
      <c r="C3" s="373"/>
      <c r="D3" s="373"/>
      <c r="E3" s="373"/>
      <c r="F3" s="373"/>
      <c r="G3" s="373"/>
      <c r="H3" s="373"/>
      <c r="I3" s="1">
        <v>44182</v>
      </c>
      <c r="K3" s="347"/>
      <c r="L3" s="410"/>
      <c r="M3" s="410"/>
      <c r="N3" s="410"/>
      <c r="O3" s="410"/>
      <c r="P3" s="410"/>
      <c r="Q3" s="410"/>
      <c r="R3" s="416"/>
      <c r="S3" s="416"/>
    </row>
    <row r="4" spans="1:19" x14ac:dyDescent="0.2">
      <c r="A4" s="340" t="s">
        <v>3</v>
      </c>
      <c r="B4" s="373" t="s">
        <v>4</v>
      </c>
      <c r="C4" s="373"/>
      <c r="D4" s="373"/>
      <c r="E4" s="373"/>
      <c r="F4" s="373"/>
      <c r="G4" s="373"/>
      <c r="H4" s="373"/>
      <c r="I4" s="340" t="s">
        <v>183</v>
      </c>
      <c r="K4" s="347"/>
      <c r="L4" s="407"/>
      <c r="M4" s="407"/>
      <c r="N4" s="410"/>
      <c r="O4" s="410"/>
      <c r="P4" s="410"/>
      <c r="Q4" s="410"/>
      <c r="R4" s="410"/>
      <c r="S4" s="410"/>
    </row>
    <row r="5" spans="1:19" x14ac:dyDescent="0.2">
      <c r="A5" s="340" t="s">
        <v>5</v>
      </c>
      <c r="B5" s="373" t="s">
        <v>6</v>
      </c>
      <c r="C5" s="373"/>
      <c r="D5" s="373"/>
      <c r="E5" s="373"/>
      <c r="F5" s="373"/>
      <c r="G5" s="373"/>
      <c r="H5" s="373"/>
      <c r="I5" s="340">
        <v>2020</v>
      </c>
      <c r="K5" s="414"/>
      <c r="L5" s="414"/>
      <c r="M5" s="414"/>
      <c r="N5" s="414"/>
      <c r="O5" s="414"/>
      <c r="P5" s="414"/>
      <c r="Q5" s="414"/>
      <c r="R5" s="414"/>
      <c r="S5" s="414"/>
    </row>
    <row r="6" spans="1:19" x14ac:dyDescent="0.2">
      <c r="A6" s="340" t="s">
        <v>7</v>
      </c>
      <c r="B6" s="373" t="s">
        <v>8</v>
      </c>
      <c r="C6" s="373"/>
      <c r="D6" s="373"/>
      <c r="E6" s="373"/>
      <c r="F6" s="373"/>
      <c r="G6" s="373"/>
      <c r="H6" s="373"/>
      <c r="I6" s="340">
        <v>12</v>
      </c>
      <c r="K6" s="414"/>
      <c r="L6" s="414"/>
      <c r="M6" s="414"/>
      <c r="N6" s="414"/>
      <c r="O6" s="414"/>
      <c r="P6" s="414"/>
      <c r="Q6" s="414"/>
      <c r="R6" s="414"/>
      <c r="S6" s="414"/>
    </row>
    <row r="7" spans="1:19" x14ac:dyDescent="0.2">
      <c r="A7" s="342"/>
      <c r="B7" s="346"/>
      <c r="C7" s="346"/>
      <c r="D7" s="346"/>
      <c r="E7" s="346"/>
      <c r="F7" s="346"/>
      <c r="G7" s="346"/>
      <c r="H7" s="342"/>
      <c r="I7" s="342"/>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347"/>
      <c r="L9" s="406"/>
      <c r="M9" s="406"/>
      <c r="N9" s="406"/>
      <c r="O9" s="406"/>
      <c r="P9" s="406"/>
      <c r="Q9" s="406"/>
      <c r="R9" s="410"/>
      <c r="S9" s="410"/>
    </row>
    <row r="10" spans="1:19" ht="27" customHeight="1" x14ac:dyDescent="0.2">
      <c r="A10" s="411" t="s">
        <v>129</v>
      </c>
      <c r="B10" s="411"/>
      <c r="C10" s="370"/>
      <c r="D10" s="370"/>
      <c r="E10" s="412">
        <v>1</v>
      </c>
      <c r="F10" s="412"/>
      <c r="G10" s="412"/>
      <c r="H10" s="412"/>
      <c r="I10" s="412"/>
      <c r="K10" s="348"/>
      <c r="L10" s="408"/>
      <c r="M10" s="408"/>
      <c r="N10" s="408"/>
      <c r="O10" s="408"/>
      <c r="P10" s="408"/>
      <c r="Q10" s="408"/>
      <c r="R10" s="413"/>
      <c r="S10" s="413"/>
    </row>
    <row r="11" spans="1:19" x14ac:dyDescent="0.2">
      <c r="A11" s="342"/>
      <c r="B11" s="346"/>
      <c r="C11" s="346"/>
      <c r="D11" s="346"/>
      <c r="E11" s="346"/>
      <c r="F11" s="346"/>
      <c r="G11" s="346"/>
      <c r="H11" s="342"/>
      <c r="I11" s="342"/>
      <c r="K11" s="347"/>
      <c r="L11" s="406"/>
      <c r="M11" s="406"/>
      <c r="N11" s="406"/>
      <c r="O11" s="406"/>
      <c r="P11" s="406"/>
      <c r="Q11" s="406"/>
      <c r="R11" s="407"/>
      <c r="S11" s="407"/>
    </row>
    <row r="12" spans="1:19" x14ac:dyDescent="0.2">
      <c r="A12" s="395" t="s">
        <v>13</v>
      </c>
      <c r="B12" s="395"/>
      <c r="C12" s="395"/>
      <c r="D12" s="395"/>
      <c r="E12" s="395"/>
      <c r="F12" s="395"/>
      <c r="G12" s="395"/>
      <c r="H12" s="395"/>
      <c r="I12" s="395"/>
      <c r="K12" s="348"/>
      <c r="L12" s="408"/>
      <c r="M12" s="408"/>
      <c r="N12" s="408"/>
      <c r="O12" s="408"/>
      <c r="P12" s="408"/>
      <c r="Q12" s="408"/>
      <c r="R12" s="409"/>
      <c r="S12" s="409"/>
    </row>
    <row r="13" spans="1:19" x14ac:dyDescent="0.2">
      <c r="A13" s="340">
        <v>1</v>
      </c>
      <c r="B13" s="373" t="s">
        <v>14</v>
      </c>
      <c r="C13" s="373"/>
      <c r="D13" s="373"/>
      <c r="E13" s="373"/>
      <c r="F13" s="373"/>
      <c r="G13" s="373"/>
      <c r="H13" s="373"/>
      <c r="I13" s="50" t="s">
        <v>184</v>
      </c>
      <c r="K13" s="2"/>
      <c r="L13" s="2"/>
      <c r="M13" s="2"/>
      <c r="N13" s="2"/>
      <c r="O13" s="2"/>
      <c r="P13" s="2"/>
      <c r="Q13" s="2"/>
      <c r="R13" s="2"/>
      <c r="S13" s="2"/>
    </row>
    <row r="14" spans="1:19" x14ac:dyDescent="0.2">
      <c r="A14" s="340">
        <v>2</v>
      </c>
      <c r="B14" s="373" t="s">
        <v>15</v>
      </c>
      <c r="C14" s="373"/>
      <c r="D14" s="373"/>
      <c r="E14" s="373"/>
      <c r="F14" s="373"/>
      <c r="G14" s="373"/>
      <c r="H14" s="373"/>
      <c r="I14" s="340"/>
    </row>
    <row r="15" spans="1:19" x14ac:dyDescent="0.2">
      <c r="A15" s="340">
        <v>3</v>
      </c>
      <c r="B15" s="373" t="s">
        <v>16</v>
      </c>
      <c r="C15" s="373"/>
      <c r="D15" s="373"/>
      <c r="E15" s="373"/>
      <c r="F15" s="373"/>
      <c r="G15" s="373"/>
      <c r="H15" s="373"/>
      <c r="I15" s="3">
        <v>1075</v>
      </c>
    </row>
    <row r="16" spans="1:19" x14ac:dyDescent="0.2">
      <c r="A16" s="340">
        <v>4</v>
      </c>
      <c r="B16" s="373" t="s">
        <v>17</v>
      </c>
      <c r="C16" s="373"/>
      <c r="D16" s="373"/>
      <c r="E16" s="373"/>
      <c r="F16" s="373"/>
      <c r="G16" s="373"/>
      <c r="H16" s="373"/>
      <c r="I16" s="1" t="str">
        <f>A10</f>
        <v>ASG</v>
      </c>
    </row>
    <row r="17" spans="1:12" x14ac:dyDescent="0.2">
      <c r="A17" s="340">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345">
        <v>1</v>
      </c>
      <c r="B20" s="389" t="s">
        <v>20</v>
      </c>
      <c r="C20" s="389"/>
      <c r="D20" s="389"/>
      <c r="E20" s="389"/>
      <c r="F20" s="389"/>
      <c r="G20" s="389"/>
      <c r="H20" s="345" t="s">
        <v>21</v>
      </c>
      <c r="I20" s="345" t="s">
        <v>22</v>
      </c>
    </row>
    <row r="21" spans="1:12" x14ac:dyDescent="0.2">
      <c r="A21" s="345" t="s">
        <v>1</v>
      </c>
      <c r="B21" s="373" t="s">
        <v>23</v>
      </c>
      <c r="C21" s="373"/>
      <c r="D21" s="373"/>
      <c r="E21" s="373"/>
      <c r="F21" s="373"/>
      <c r="G21" s="373"/>
      <c r="H21" s="4"/>
      <c r="I21" s="5">
        <f>I15</f>
        <v>1075</v>
      </c>
      <c r="L21" s="20">
        <f>I35+I46+I71+I81</f>
        <v>708.60565374999999</v>
      </c>
    </row>
    <row r="22" spans="1:12" x14ac:dyDescent="0.2">
      <c r="A22" s="345" t="s">
        <v>3</v>
      </c>
      <c r="B22" s="373" t="s">
        <v>24</v>
      </c>
      <c r="C22" s="373"/>
      <c r="D22" s="373"/>
      <c r="E22" s="373"/>
      <c r="F22" s="373"/>
      <c r="G22" s="373"/>
      <c r="H22" s="6"/>
      <c r="I22" s="5">
        <v>0</v>
      </c>
      <c r="L22" s="53">
        <f>L21/I28</f>
        <v>0.65916805000000001</v>
      </c>
    </row>
    <row r="23" spans="1:12" x14ac:dyDescent="0.2">
      <c r="A23" s="345" t="s">
        <v>5</v>
      </c>
      <c r="B23" s="373" t="s">
        <v>25</v>
      </c>
      <c r="C23" s="373"/>
      <c r="D23" s="373"/>
      <c r="E23" s="373"/>
      <c r="F23" s="373"/>
      <c r="G23" s="373"/>
      <c r="H23" s="6">
        <v>0</v>
      </c>
      <c r="I23" s="5">
        <f>I21*H23</f>
        <v>0</v>
      </c>
    </row>
    <row r="24" spans="1:12" x14ac:dyDescent="0.2">
      <c r="A24" s="345" t="s">
        <v>7</v>
      </c>
      <c r="B24" s="373" t="s">
        <v>26</v>
      </c>
      <c r="C24" s="373"/>
      <c r="D24" s="373"/>
      <c r="E24" s="373"/>
      <c r="F24" s="373"/>
      <c r="G24" s="373"/>
      <c r="H24" s="6"/>
      <c r="I24" s="5">
        <v>0</v>
      </c>
    </row>
    <row r="25" spans="1:12" x14ac:dyDescent="0.2">
      <c r="A25" s="345" t="s">
        <v>27</v>
      </c>
      <c r="B25" s="373" t="s">
        <v>28</v>
      </c>
      <c r="C25" s="373"/>
      <c r="D25" s="373"/>
      <c r="E25" s="373"/>
      <c r="F25" s="373"/>
      <c r="G25" s="373"/>
      <c r="H25" s="6"/>
      <c r="I25" s="5">
        <v>0</v>
      </c>
    </row>
    <row r="26" spans="1:12" x14ac:dyDescent="0.2">
      <c r="A26" s="345" t="s">
        <v>29</v>
      </c>
      <c r="B26" s="373" t="s">
        <v>30</v>
      </c>
      <c r="C26" s="373"/>
      <c r="D26" s="373"/>
      <c r="E26" s="373"/>
      <c r="F26" s="373"/>
      <c r="G26" s="373"/>
      <c r="H26" s="6"/>
      <c r="I26" s="5">
        <v>0</v>
      </c>
    </row>
    <row r="27" spans="1:12" x14ac:dyDescent="0.2">
      <c r="A27" s="345"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1075</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345" t="s">
        <v>21</v>
      </c>
      <c r="I31" s="345" t="s">
        <v>22</v>
      </c>
      <c r="J31" s="48"/>
    </row>
    <row r="32" spans="1:12" x14ac:dyDescent="0.2">
      <c r="A32" s="345" t="s">
        <v>1</v>
      </c>
      <c r="B32" s="373" t="s">
        <v>36</v>
      </c>
      <c r="C32" s="373"/>
      <c r="D32" s="373"/>
      <c r="E32" s="373"/>
      <c r="F32" s="373"/>
      <c r="G32" s="373"/>
      <c r="H32" s="10">
        <v>8.3299999999999999E-2</v>
      </c>
      <c r="I32" s="5">
        <f>$I$28*H32</f>
        <v>89.547499999999999</v>
      </c>
      <c r="J32" s="48"/>
    </row>
    <row r="33" spans="1:11" x14ac:dyDescent="0.2">
      <c r="A33" s="345" t="s">
        <v>3</v>
      </c>
      <c r="B33" s="373" t="s">
        <v>185</v>
      </c>
      <c r="C33" s="373"/>
      <c r="D33" s="373"/>
      <c r="E33" s="373"/>
      <c r="F33" s="373"/>
      <c r="G33" s="373"/>
      <c r="H33" s="11">
        <v>2.7799999999999998E-2</v>
      </c>
      <c r="I33" s="5">
        <f>H33*I28</f>
        <v>29.884999999999998</v>
      </c>
      <c r="J33" s="48"/>
    </row>
    <row r="34" spans="1:11" x14ac:dyDescent="0.2">
      <c r="A34" s="345" t="s">
        <v>132</v>
      </c>
      <c r="B34" s="373" t="s">
        <v>133</v>
      </c>
      <c r="C34" s="373"/>
      <c r="D34" s="373"/>
      <c r="E34" s="373"/>
      <c r="F34" s="373"/>
      <c r="G34" s="373"/>
      <c r="H34" s="11">
        <f>(H32+H33)*H46</f>
        <v>3.9784910000000007E-2</v>
      </c>
      <c r="I34" s="5">
        <f>I28*H34</f>
        <v>42.768778250000004</v>
      </c>
      <c r="J34" s="48"/>
    </row>
    <row r="35" spans="1:11" x14ac:dyDescent="0.2">
      <c r="A35" s="389" t="s">
        <v>37</v>
      </c>
      <c r="B35" s="389"/>
      <c r="C35" s="389"/>
      <c r="D35" s="389"/>
      <c r="E35" s="389"/>
      <c r="F35" s="389"/>
      <c r="G35" s="389"/>
      <c r="H35" s="12">
        <f>TRUNC(SUM(H32:H33),4)</f>
        <v>0.1111</v>
      </c>
      <c r="I35" s="13">
        <f>SUM(I32:I34)</f>
        <v>162.20127825</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345" t="s">
        <v>21</v>
      </c>
      <c r="I37" s="345" t="s">
        <v>22</v>
      </c>
      <c r="J37" s="48"/>
      <c r="K37" s="404"/>
    </row>
    <row r="38" spans="1:11" x14ac:dyDescent="0.2">
      <c r="A38" s="345" t="s">
        <v>1</v>
      </c>
      <c r="B38" s="373" t="s">
        <v>39</v>
      </c>
      <c r="C38" s="373"/>
      <c r="D38" s="373"/>
      <c r="E38" s="373"/>
      <c r="F38" s="373"/>
      <c r="G38" s="373"/>
      <c r="H38" s="10">
        <v>0.2</v>
      </c>
      <c r="I38" s="5">
        <f>($I$28)*H38</f>
        <v>215</v>
      </c>
      <c r="J38" s="48"/>
      <c r="K38" s="404"/>
    </row>
    <row r="39" spans="1:11" x14ac:dyDescent="0.2">
      <c r="A39" s="345" t="s">
        <v>3</v>
      </c>
      <c r="B39" s="373" t="s">
        <v>40</v>
      </c>
      <c r="C39" s="373"/>
      <c r="D39" s="373"/>
      <c r="E39" s="373"/>
      <c r="F39" s="373"/>
      <c r="G39" s="373"/>
      <c r="H39" s="10">
        <v>2.5000000000000001E-2</v>
      </c>
      <c r="I39" s="5">
        <f t="shared" ref="I39:I45" si="0">($I$28)*H39</f>
        <v>26.875</v>
      </c>
      <c r="J39" s="48"/>
      <c r="K39" s="404"/>
    </row>
    <row r="40" spans="1:11" x14ac:dyDescent="0.2">
      <c r="A40" s="345" t="s">
        <v>5</v>
      </c>
      <c r="B40" s="373" t="s">
        <v>41</v>
      </c>
      <c r="C40" s="373"/>
      <c r="D40" s="373"/>
      <c r="E40" s="373"/>
      <c r="F40" s="373"/>
      <c r="G40" s="373"/>
      <c r="H40" s="10">
        <v>2.01E-2</v>
      </c>
      <c r="I40" s="5">
        <f t="shared" si="0"/>
        <v>21.607499999999998</v>
      </c>
      <c r="J40" s="48"/>
      <c r="K40" s="404"/>
    </row>
    <row r="41" spans="1:11" x14ac:dyDescent="0.2">
      <c r="A41" s="345" t="s">
        <v>7</v>
      </c>
      <c r="B41" s="373" t="s">
        <v>42</v>
      </c>
      <c r="C41" s="373"/>
      <c r="D41" s="373"/>
      <c r="E41" s="373"/>
      <c r="F41" s="373"/>
      <c r="G41" s="373"/>
      <c r="H41" s="10">
        <v>1.4999999999999999E-2</v>
      </c>
      <c r="I41" s="5">
        <f t="shared" si="0"/>
        <v>16.125</v>
      </c>
      <c r="J41" s="48"/>
      <c r="K41" s="404"/>
    </row>
    <row r="42" spans="1:11" x14ac:dyDescent="0.2">
      <c r="A42" s="345" t="s">
        <v>27</v>
      </c>
      <c r="B42" s="373" t="s">
        <v>43</v>
      </c>
      <c r="C42" s="373"/>
      <c r="D42" s="373"/>
      <c r="E42" s="373"/>
      <c r="F42" s="373"/>
      <c r="G42" s="373"/>
      <c r="H42" s="10">
        <v>0.01</v>
      </c>
      <c r="I42" s="5">
        <f t="shared" si="0"/>
        <v>10.75</v>
      </c>
      <c r="J42" s="48"/>
      <c r="K42" s="404"/>
    </row>
    <row r="43" spans="1:11" x14ac:dyDescent="0.2">
      <c r="A43" s="345" t="s">
        <v>29</v>
      </c>
      <c r="B43" s="373" t="s">
        <v>44</v>
      </c>
      <c r="C43" s="373"/>
      <c r="D43" s="373"/>
      <c r="E43" s="373"/>
      <c r="F43" s="373"/>
      <c r="G43" s="373"/>
      <c r="H43" s="10">
        <v>6.0000000000000001E-3</v>
      </c>
      <c r="I43" s="5">
        <f t="shared" si="0"/>
        <v>6.45</v>
      </c>
      <c r="J43" s="48"/>
      <c r="K43" s="404"/>
    </row>
    <row r="44" spans="1:11" x14ac:dyDescent="0.2">
      <c r="A44" s="345" t="s">
        <v>31</v>
      </c>
      <c r="B44" s="373" t="s">
        <v>45</v>
      </c>
      <c r="C44" s="373"/>
      <c r="D44" s="373"/>
      <c r="E44" s="373"/>
      <c r="F44" s="373"/>
      <c r="G44" s="373"/>
      <c r="H44" s="10">
        <v>2E-3</v>
      </c>
      <c r="I44" s="5">
        <f t="shared" si="0"/>
        <v>2.15</v>
      </c>
      <c r="J44" s="48"/>
      <c r="K44" s="404"/>
    </row>
    <row r="45" spans="1:11" x14ac:dyDescent="0.2">
      <c r="A45" s="345" t="s">
        <v>46</v>
      </c>
      <c r="B45" s="373" t="s">
        <v>47</v>
      </c>
      <c r="C45" s="373"/>
      <c r="D45" s="373"/>
      <c r="E45" s="373"/>
      <c r="F45" s="373"/>
      <c r="G45" s="373"/>
      <c r="H45" s="10">
        <v>0.08</v>
      </c>
      <c r="I45" s="5">
        <f t="shared" si="0"/>
        <v>86</v>
      </c>
      <c r="J45" s="48"/>
      <c r="K45" s="404"/>
    </row>
    <row r="46" spans="1:11" x14ac:dyDescent="0.2">
      <c r="A46" s="389" t="s">
        <v>48</v>
      </c>
      <c r="B46" s="389"/>
      <c r="C46" s="389"/>
      <c r="D46" s="389"/>
      <c r="E46" s="389"/>
      <c r="F46" s="389"/>
      <c r="G46" s="389"/>
      <c r="H46" s="12">
        <f>SUM(H38:H45)</f>
        <v>0.35810000000000003</v>
      </c>
      <c r="I46" s="13">
        <f>(SUM(I38:I45))</f>
        <v>384.95749999999998</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345" t="s">
        <v>22</v>
      </c>
      <c r="J48" s="48"/>
    </row>
    <row r="49" spans="1:10" x14ac:dyDescent="0.2">
      <c r="A49" s="345" t="s">
        <v>1</v>
      </c>
      <c r="B49" s="393" t="s">
        <v>125</v>
      </c>
      <c r="C49" s="393"/>
      <c r="D49" s="393"/>
      <c r="E49" s="393"/>
      <c r="F49" s="393"/>
      <c r="G49" s="393"/>
      <c r="H49" s="55">
        <v>0</v>
      </c>
      <c r="I49" s="14">
        <v>0</v>
      </c>
      <c r="J49" s="48"/>
    </row>
    <row r="50" spans="1:10" x14ac:dyDescent="0.2">
      <c r="A50" s="345" t="s">
        <v>3</v>
      </c>
      <c r="B50" s="393" t="s">
        <v>124</v>
      </c>
      <c r="C50" s="393"/>
      <c r="D50" s="393"/>
      <c r="E50" s="393"/>
      <c r="F50" s="393"/>
      <c r="G50" s="393"/>
      <c r="H50" s="55">
        <v>418</v>
      </c>
      <c r="I50" s="15">
        <f>H50*0.8</f>
        <v>334.40000000000003</v>
      </c>
      <c r="J50" s="49"/>
    </row>
    <row r="51" spans="1:10" x14ac:dyDescent="0.2">
      <c r="A51" s="345" t="s">
        <v>5</v>
      </c>
      <c r="B51" s="393" t="s">
        <v>126</v>
      </c>
      <c r="C51" s="393"/>
      <c r="D51" s="393"/>
      <c r="E51" s="393"/>
      <c r="F51" s="393"/>
      <c r="G51" s="393"/>
      <c r="H51" s="55">
        <v>0</v>
      </c>
      <c r="I51" s="14">
        <f>H51</f>
        <v>0</v>
      </c>
      <c r="J51" s="48"/>
    </row>
    <row r="52" spans="1:10" x14ac:dyDescent="0.2">
      <c r="A52" s="345" t="s">
        <v>7</v>
      </c>
      <c r="B52" s="397" t="s">
        <v>127</v>
      </c>
      <c r="C52" s="398"/>
      <c r="D52" s="398"/>
      <c r="E52" s="398"/>
      <c r="F52" s="398"/>
      <c r="G52" s="399"/>
      <c r="H52" s="55">
        <v>0</v>
      </c>
      <c r="I52" s="14">
        <f>H52</f>
        <v>0</v>
      </c>
      <c r="J52" s="48"/>
    </row>
    <row r="53" spans="1:10" x14ac:dyDescent="0.2">
      <c r="A53" s="345"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342.40000000000003</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345" t="s">
        <v>22</v>
      </c>
      <c r="J57" s="48"/>
    </row>
    <row r="58" spans="1:10" x14ac:dyDescent="0.2">
      <c r="A58" s="345" t="s">
        <v>54</v>
      </c>
      <c r="B58" s="370" t="s">
        <v>55</v>
      </c>
      <c r="C58" s="370"/>
      <c r="D58" s="370"/>
      <c r="E58" s="370"/>
      <c r="F58" s="370"/>
      <c r="G58" s="370"/>
      <c r="H58" s="370"/>
      <c r="I58" s="16">
        <f>I35</f>
        <v>162.20127825</v>
      </c>
      <c r="J58" s="48"/>
    </row>
    <row r="59" spans="1:10" x14ac:dyDescent="0.2">
      <c r="A59" s="345" t="s">
        <v>56</v>
      </c>
      <c r="B59" s="370" t="s">
        <v>57</v>
      </c>
      <c r="C59" s="370"/>
      <c r="D59" s="370"/>
      <c r="E59" s="370"/>
      <c r="F59" s="370"/>
      <c r="G59" s="370"/>
      <c r="H59" s="370"/>
      <c r="I59" s="16">
        <f>I46</f>
        <v>384.95749999999998</v>
      </c>
      <c r="J59" s="48"/>
    </row>
    <row r="60" spans="1:10" x14ac:dyDescent="0.2">
      <c r="A60" s="345" t="s">
        <v>58</v>
      </c>
      <c r="B60" s="370" t="s">
        <v>59</v>
      </c>
      <c r="C60" s="370"/>
      <c r="D60" s="370"/>
      <c r="E60" s="370"/>
      <c r="F60" s="370"/>
      <c r="G60" s="370"/>
      <c r="H60" s="370"/>
      <c r="I60" s="16">
        <f>I54</f>
        <v>342.40000000000003</v>
      </c>
      <c r="J60" s="48"/>
    </row>
    <row r="61" spans="1:10" x14ac:dyDescent="0.2">
      <c r="A61" s="389" t="s">
        <v>60</v>
      </c>
      <c r="B61" s="389"/>
      <c r="C61" s="389"/>
      <c r="D61" s="389"/>
      <c r="E61" s="389"/>
      <c r="F61" s="389"/>
      <c r="G61" s="389"/>
      <c r="H61" s="389"/>
      <c r="I61" s="13">
        <f>(SUM(I58:I60))</f>
        <v>889.55877824999993</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345">
        <v>3</v>
      </c>
      <c r="B64" s="389" t="s">
        <v>62</v>
      </c>
      <c r="C64" s="389"/>
      <c r="D64" s="389"/>
      <c r="E64" s="389"/>
      <c r="F64" s="389"/>
      <c r="G64" s="389"/>
      <c r="H64" s="345" t="s">
        <v>21</v>
      </c>
      <c r="I64" s="345" t="s">
        <v>22</v>
      </c>
      <c r="J64" s="48"/>
    </row>
    <row r="65" spans="1:11" x14ac:dyDescent="0.2">
      <c r="A65" s="345" t="s">
        <v>1</v>
      </c>
      <c r="B65" s="373" t="s">
        <v>63</v>
      </c>
      <c r="C65" s="373"/>
      <c r="D65" s="373"/>
      <c r="E65" s="373"/>
      <c r="F65" s="373"/>
      <c r="G65" s="373"/>
      <c r="H65" s="17">
        <v>4.1999999999999997E-3</v>
      </c>
      <c r="I65" s="16">
        <f>$I$28*H65</f>
        <v>4.5149999999999997</v>
      </c>
      <c r="J65" s="48"/>
    </row>
    <row r="66" spans="1:11" x14ac:dyDescent="0.2">
      <c r="A66" s="345" t="s">
        <v>3</v>
      </c>
      <c r="B66" s="373" t="s">
        <v>64</v>
      </c>
      <c r="C66" s="373"/>
      <c r="D66" s="373"/>
      <c r="E66" s="373"/>
      <c r="F66" s="373"/>
      <c r="G66" s="373"/>
      <c r="H66" s="17">
        <f>H45*H65</f>
        <v>3.3599999999999998E-4</v>
      </c>
      <c r="I66" s="5">
        <f>H66*I28</f>
        <v>0.36119999999999997</v>
      </c>
      <c r="J66" s="48"/>
    </row>
    <row r="67" spans="1:11" x14ac:dyDescent="0.2">
      <c r="A67" s="345" t="s">
        <v>5</v>
      </c>
      <c r="B67" s="373" t="s">
        <v>65</v>
      </c>
      <c r="C67" s="373"/>
      <c r="D67" s="373"/>
      <c r="E67" s="373"/>
      <c r="F67" s="373"/>
      <c r="G67" s="373"/>
      <c r="H67" s="18">
        <v>0.01</v>
      </c>
      <c r="I67" s="5">
        <f>$I$28*H67</f>
        <v>10.75</v>
      </c>
      <c r="J67" s="48"/>
    </row>
    <row r="68" spans="1:11" x14ac:dyDescent="0.2">
      <c r="A68" s="345" t="s">
        <v>7</v>
      </c>
      <c r="B68" s="373" t="s">
        <v>66</v>
      </c>
      <c r="C68" s="373"/>
      <c r="D68" s="373"/>
      <c r="E68" s="373"/>
      <c r="F68" s="373"/>
      <c r="G68" s="373"/>
      <c r="H68" s="46">
        <v>1.9400000000000001E-2</v>
      </c>
      <c r="I68" s="5">
        <f>$I$28*H68</f>
        <v>20.855</v>
      </c>
      <c r="J68" s="48"/>
    </row>
    <row r="69" spans="1:11" x14ac:dyDescent="0.2">
      <c r="A69" s="345" t="s">
        <v>27</v>
      </c>
      <c r="B69" s="373" t="s">
        <v>67</v>
      </c>
      <c r="C69" s="373"/>
      <c r="D69" s="373"/>
      <c r="E69" s="373"/>
      <c r="F69" s="373"/>
      <c r="G69" s="373"/>
      <c r="H69" s="19">
        <f>H46*H68</f>
        <v>6.947140000000001E-3</v>
      </c>
      <c r="I69" s="5">
        <f>$I$28*H69</f>
        <v>7.468175500000001</v>
      </c>
      <c r="J69" s="48"/>
    </row>
    <row r="70" spans="1:11" x14ac:dyDescent="0.2">
      <c r="A70" s="345" t="s">
        <v>29</v>
      </c>
      <c r="B70" s="373" t="s">
        <v>68</v>
      </c>
      <c r="C70" s="373"/>
      <c r="D70" s="373"/>
      <c r="E70" s="373"/>
      <c r="F70" s="373"/>
      <c r="G70" s="373"/>
      <c r="H70" s="54">
        <v>2.1999999999999999E-2</v>
      </c>
      <c r="I70" s="5">
        <f>$I$28*H70</f>
        <v>23.65</v>
      </c>
      <c r="J70" s="48"/>
      <c r="K70" s="20"/>
    </row>
    <row r="71" spans="1:11" x14ac:dyDescent="0.2">
      <c r="A71" s="389" t="s">
        <v>69</v>
      </c>
      <c r="B71" s="389"/>
      <c r="C71" s="389"/>
      <c r="D71" s="389"/>
      <c r="E71" s="389"/>
      <c r="F71" s="389"/>
      <c r="G71" s="389"/>
      <c r="H71" s="12">
        <f>TRUNC(SUM(H65:H70),4)</f>
        <v>6.2799999999999995E-2</v>
      </c>
      <c r="I71" s="13">
        <f>(SUM(I65:I70))</f>
        <v>67.599375500000008</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345" t="s">
        <v>21</v>
      </c>
      <c r="I74" s="345" t="s">
        <v>22</v>
      </c>
      <c r="J74" s="48"/>
    </row>
    <row r="75" spans="1:11" x14ac:dyDescent="0.2">
      <c r="A75" s="345" t="s">
        <v>1</v>
      </c>
      <c r="B75" s="373" t="s">
        <v>186</v>
      </c>
      <c r="C75" s="373"/>
      <c r="D75" s="373"/>
      <c r="E75" s="373"/>
      <c r="F75" s="373"/>
      <c r="G75" s="373"/>
      <c r="H75" s="148">
        <v>8.3299999999999999E-2</v>
      </c>
      <c r="I75" s="5">
        <f t="shared" ref="I75:I80" si="1">$I$28*H75</f>
        <v>89.547499999999999</v>
      </c>
      <c r="J75" s="48"/>
    </row>
    <row r="76" spans="1:11" x14ac:dyDescent="0.2">
      <c r="A76" s="345" t="s">
        <v>3</v>
      </c>
      <c r="B76" s="373" t="s">
        <v>187</v>
      </c>
      <c r="C76" s="373"/>
      <c r="D76" s="373"/>
      <c r="E76" s="373"/>
      <c r="F76" s="373"/>
      <c r="G76" s="373"/>
      <c r="H76" s="148">
        <v>2.8E-3</v>
      </c>
      <c r="I76" s="16">
        <f t="shared" si="1"/>
        <v>3.01</v>
      </c>
      <c r="J76" s="48"/>
    </row>
    <row r="77" spans="1:11" x14ac:dyDescent="0.2">
      <c r="A77" s="345" t="s">
        <v>5</v>
      </c>
      <c r="B77" s="373" t="s">
        <v>188</v>
      </c>
      <c r="C77" s="373"/>
      <c r="D77" s="373"/>
      <c r="E77" s="373"/>
      <c r="F77" s="373"/>
      <c r="G77" s="373"/>
      <c r="H77" s="17">
        <v>2.0000000000000001E-4</v>
      </c>
      <c r="I77" s="16">
        <f t="shared" si="1"/>
        <v>0.215</v>
      </c>
      <c r="J77" s="48"/>
    </row>
    <row r="78" spans="1:11" x14ac:dyDescent="0.2">
      <c r="A78" s="345" t="s">
        <v>7</v>
      </c>
      <c r="B78" s="373" t="s">
        <v>189</v>
      </c>
      <c r="C78" s="373"/>
      <c r="D78" s="373"/>
      <c r="E78" s="373"/>
      <c r="F78" s="373"/>
      <c r="G78" s="373"/>
      <c r="H78" s="148">
        <v>2.9999999999999997E-4</v>
      </c>
      <c r="I78" s="16">
        <f t="shared" si="1"/>
        <v>0.32249999999999995</v>
      </c>
      <c r="J78" s="48"/>
    </row>
    <row r="79" spans="1:11" x14ac:dyDescent="0.2">
      <c r="A79" s="345" t="s">
        <v>27</v>
      </c>
      <c r="B79" s="373" t="s">
        <v>190</v>
      </c>
      <c r="C79" s="373"/>
      <c r="D79" s="373"/>
      <c r="E79" s="373"/>
      <c r="F79" s="373"/>
      <c r="G79" s="373"/>
      <c r="H79" s="17">
        <v>6.9999999999999999E-4</v>
      </c>
      <c r="I79" s="16">
        <f t="shared" si="1"/>
        <v>0.75249999999999995</v>
      </c>
      <c r="J79" s="48"/>
    </row>
    <row r="80" spans="1:11" x14ac:dyDescent="0.2">
      <c r="A80" s="345"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93.847500000000011</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345" t="s">
        <v>21</v>
      </c>
      <c r="I83" s="345" t="s">
        <v>22</v>
      </c>
      <c r="J83" s="48"/>
    </row>
    <row r="84" spans="1:10" x14ac:dyDescent="0.2">
      <c r="A84" s="345"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345" t="s">
        <v>22</v>
      </c>
      <c r="J88" s="48"/>
    </row>
    <row r="89" spans="1:10" x14ac:dyDescent="0.2">
      <c r="A89" s="345" t="s">
        <v>77</v>
      </c>
      <c r="B89" s="370" t="s">
        <v>193</v>
      </c>
      <c r="C89" s="370"/>
      <c r="D89" s="370"/>
      <c r="E89" s="370"/>
      <c r="F89" s="370"/>
      <c r="G89" s="370"/>
      <c r="H89" s="370"/>
      <c r="I89" s="16">
        <f>I81</f>
        <v>93.847500000000011</v>
      </c>
      <c r="J89" s="48"/>
    </row>
    <row r="90" spans="1:10" x14ac:dyDescent="0.2">
      <c r="A90" s="345" t="s">
        <v>78</v>
      </c>
      <c r="B90" s="370" t="s">
        <v>194</v>
      </c>
      <c r="C90" s="370"/>
      <c r="D90" s="370"/>
      <c r="E90" s="370"/>
      <c r="F90" s="370"/>
      <c r="G90" s="370"/>
      <c r="H90" s="370"/>
      <c r="I90" s="16">
        <f>I85</f>
        <v>0</v>
      </c>
      <c r="J90" s="48"/>
    </row>
    <row r="91" spans="1:10" x14ac:dyDescent="0.2">
      <c r="A91" s="345" t="s">
        <v>46</v>
      </c>
      <c r="B91" s="370" t="s">
        <v>195</v>
      </c>
      <c r="C91" s="370"/>
      <c r="D91" s="370"/>
      <c r="E91" s="370"/>
      <c r="F91" s="370"/>
      <c r="G91" s="370"/>
      <c r="H91" s="370"/>
      <c r="I91" s="16">
        <f>(H81*H46)*I89</f>
        <v>2.9338727451750009</v>
      </c>
      <c r="J91" s="48"/>
    </row>
    <row r="92" spans="1:10" x14ac:dyDescent="0.2">
      <c r="A92" s="389" t="s">
        <v>79</v>
      </c>
      <c r="B92" s="389"/>
      <c r="C92" s="389"/>
      <c r="D92" s="389"/>
      <c r="E92" s="389"/>
      <c r="F92" s="389"/>
      <c r="G92" s="389"/>
      <c r="H92" s="389"/>
      <c r="I92" s="13">
        <f>(SUM(I89:I90))</f>
        <v>93.847500000000011</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345">
        <v>5</v>
      </c>
      <c r="B95" s="389" t="s">
        <v>81</v>
      </c>
      <c r="C95" s="389"/>
      <c r="D95" s="389"/>
      <c r="E95" s="389"/>
      <c r="F95" s="389"/>
      <c r="G95" s="389"/>
      <c r="H95" s="345"/>
      <c r="I95" s="345" t="s">
        <v>22</v>
      </c>
      <c r="J95" s="48"/>
    </row>
    <row r="96" spans="1:10" x14ac:dyDescent="0.2">
      <c r="A96" s="345" t="s">
        <v>1</v>
      </c>
      <c r="B96" s="393" t="s">
        <v>82</v>
      </c>
      <c r="C96" s="393"/>
      <c r="D96" s="393"/>
      <c r="E96" s="393"/>
      <c r="F96" s="393"/>
      <c r="G96" s="393"/>
      <c r="H96" s="340" t="s">
        <v>50</v>
      </c>
      <c r="I96" s="66">
        <f>UNIFORME!F10</f>
        <v>28.666666666666668</v>
      </c>
      <c r="J96" s="48"/>
    </row>
    <row r="97" spans="1:13" x14ac:dyDescent="0.2">
      <c r="A97" s="345" t="s">
        <v>3</v>
      </c>
      <c r="B97" s="393" t="s">
        <v>83</v>
      </c>
      <c r="C97" s="393"/>
      <c r="D97" s="393"/>
      <c r="E97" s="393"/>
      <c r="F97" s="393"/>
      <c r="G97" s="393"/>
      <c r="H97" s="340" t="s">
        <v>50</v>
      </c>
      <c r="I97" s="16">
        <f>MATERIAL!H104</f>
        <v>1296.4523297491039</v>
      </c>
      <c r="J97" s="48"/>
    </row>
    <row r="98" spans="1:13" x14ac:dyDescent="0.2">
      <c r="A98" s="21" t="s">
        <v>5</v>
      </c>
      <c r="B98" s="393" t="s">
        <v>84</v>
      </c>
      <c r="C98" s="393"/>
      <c r="D98" s="393"/>
      <c r="E98" s="393"/>
      <c r="F98" s="393"/>
      <c r="G98" s="393"/>
      <c r="H98" s="340" t="s">
        <v>50</v>
      </c>
      <c r="I98" s="16">
        <f>MATERIAL!I123</f>
        <v>30.513888888888889</v>
      </c>
      <c r="J98" s="48"/>
    </row>
    <row r="99" spans="1:13" x14ac:dyDescent="0.2">
      <c r="A99" s="21" t="s">
        <v>7</v>
      </c>
      <c r="B99" s="393" t="s">
        <v>435</v>
      </c>
      <c r="C99" s="393"/>
      <c r="D99" s="393"/>
      <c r="E99" s="393"/>
      <c r="F99" s="393"/>
      <c r="G99" s="393"/>
      <c r="H99" s="340" t="s">
        <v>50</v>
      </c>
      <c r="I99" s="16">
        <f>MATERIAL!H59</f>
        <v>20.76595744680851</v>
      </c>
      <c r="J99" s="48"/>
    </row>
    <row r="100" spans="1:13" x14ac:dyDescent="0.2">
      <c r="A100" s="389" t="s">
        <v>85</v>
      </c>
      <c r="B100" s="389"/>
      <c r="C100" s="389"/>
      <c r="D100" s="389"/>
      <c r="E100" s="389"/>
      <c r="F100" s="389"/>
      <c r="G100" s="389"/>
      <c r="H100" s="12" t="s">
        <v>50</v>
      </c>
      <c r="I100" s="13">
        <f>(SUM(I96:I99))</f>
        <v>1376.398842751468</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345">
        <v>6</v>
      </c>
      <c r="B103" s="389" t="s">
        <v>87</v>
      </c>
      <c r="C103" s="389"/>
      <c r="D103" s="389"/>
      <c r="E103" s="389"/>
      <c r="F103" s="389"/>
      <c r="G103" s="389"/>
      <c r="H103" s="345" t="s">
        <v>21</v>
      </c>
      <c r="I103" s="345" t="s">
        <v>22</v>
      </c>
      <c r="J103" s="48"/>
      <c r="K103" s="52">
        <f>'ANEXO VII'!M57</f>
        <v>197.15170301310718</v>
      </c>
    </row>
    <row r="104" spans="1:13" x14ac:dyDescent="0.2">
      <c r="A104" s="345" t="s">
        <v>1</v>
      </c>
      <c r="B104" s="373" t="s">
        <v>88</v>
      </c>
      <c r="C104" s="373"/>
      <c r="D104" s="373"/>
      <c r="E104" s="373"/>
      <c r="F104" s="373"/>
      <c r="G104" s="373"/>
      <c r="H104" s="22">
        <v>5.21E-2</v>
      </c>
      <c r="I104" s="16">
        <f>I120*H104</f>
        <v>182.47527426772649</v>
      </c>
      <c r="J104" s="48"/>
      <c r="M104" s="52"/>
    </row>
    <row r="105" spans="1:13" x14ac:dyDescent="0.2">
      <c r="A105" s="345" t="s">
        <v>3</v>
      </c>
      <c r="B105" s="373" t="s">
        <v>89</v>
      </c>
      <c r="C105" s="373"/>
      <c r="D105" s="373"/>
      <c r="E105" s="373"/>
      <c r="F105" s="373"/>
      <c r="G105" s="373"/>
      <c r="H105" s="22">
        <v>0.05</v>
      </c>
      <c r="I105" s="16">
        <f>(I120+I104)*H105</f>
        <v>184.24398853845975</v>
      </c>
      <c r="J105" s="48"/>
    </row>
    <row r="106" spans="1:13" x14ac:dyDescent="0.2">
      <c r="A106" s="345" t="s">
        <v>5</v>
      </c>
      <c r="B106" s="392" t="s">
        <v>90</v>
      </c>
      <c r="C106" s="392"/>
      <c r="D106" s="392"/>
      <c r="E106" s="392"/>
      <c r="F106" s="392"/>
      <c r="G106" s="392"/>
      <c r="H106" s="23">
        <f>H107+H108+H109</f>
        <v>8.6499999999999994E-2</v>
      </c>
      <c r="I106" s="24"/>
      <c r="J106" s="48"/>
    </row>
    <row r="107" spans="1:13" x14ac:dyDescent="0.2">
      <c r="A107" s="345" t="s">
        <v>91</v>
      </c>
      <c r="B107" s="373" t="s">
        <v>92</v>
      </c>
      <c r="C107" s="373"/>
      <c r="D107" s="373"/>
      <c r="E107" s="373"/>
      <c r="F107" s="373"/>
      <c r="G107" s="373"/>
      <c r="H107" s="25">
        <v>6.4999999999999997E-3</v>
      </c>
      <c r="I107" s="16">
        <f>K110*H107</f>
        <v>27.530710931034214</v>
      </c>
      <c r="J107" s="48"/>
      <c r="K107" s="65">
        <f>1-H106</f>
        <v>0.91349999999999998</v>
      </c>
    </row>
    <row r="108" spans="1:13" x14ac:dyDescent="0.2">
      <c r="A108" s="345" t="s">
        <v>93</v>
      </c>
      <c r="B108" s="373" t="s">
        <v>94</v>
      </c>
      <c r="C108" s="373"/>
      <c r="D108" s="373"/>
      <c r="E108" s="373"/>
      <c r="F108" s="373"/>
      <c r="G108" s="373"/>
      <c r="H108" s="25">
        <v>0.03</v>
      </c>
      <c r="I108" s="16">
        <f>K110*H108</f>
        <v>127.06481968169636</v>
      </c>
      <c r="J108" s="48"/>
      <c r="K108" s="45">
        <f>K107/1</f>
        <v>0.91349999999999998</v>
      </c>
    </row>
    <row r="109" spans="1:13" x14ac:dyDescent="0.2">
      <c r="A109" s="345" t="s">
        <v>95</v>
      </c>
      <c r="B109" s="373" t="s">
        <v>96</v>
      </c>
      <c r="C109" s="373"/>
      <c r="D109" s="373"/>
      <c r="E109" s="373"/>
      <c r="F109" s="373"/>
      <c r="G109" s="373"/>
      <c r="H109" s="26">
        <v>0.05</v>
      </c>
      <c r="I109" s="16">
        <f>K110*H109</f>
        <v>211.77469946949395</v>
      </c>
      <c r="J109" s="48"/>
      <c r="K109" s="20">
        <f>I120+I104+I105</f>
        <v>3869.1237593076544</v>
      </c>
    </row>
    <row r="110" spans="1:13" x14ac:dyDescent="0.2">
      <c r="A110" s="389" t="s">
        <v>97</v>
      </c>
      <c r="B110" s="389"/>
      <c r="C110" s="389"/>
      <c r="D110" s="389"/>
      <c r="E110" s="389"/>
      <c r="F110" s="389"/>
      <c r="G110" s="389"/>
      <c r="H110" s="25">
        <f>SUM(H104+H105+H106)</f>
        <v>0.18859999999999999</v>
      </c>
      <c r="I110" s="13">
        <f>(SUM(I104:I109))</f>
        <v>733.08949288841075</v>
      </c>
      <c r="J110" s="48"/>
      <c r="K110" s="20">
        <f>K109/K108</f>
        <v>4235.4939893898791</v>
      </c>
    </row>
    <row r="111" spans="1:13" x14ac:dyDescent="0.2">
      <c r="A111" s="342"/>
      <c r="B111" s="390"/>
      <c r="C111" s="390"/>
      <c r="D111" s="390"/>
      <c r="E111" s="390"/>
      <c r="F111" s="390"/>
      <c r="G111" s="390"/>
      <c r="H111" s="390"/>
      <c r="I111" s="390"/>
    </row>
    <row r="112" spans="1:13" x14ac:dyDescent="0.2">
      <c r="A112" s="342"/>
      <c r="B112" s="342"/>
      <c r="C112" s="342"/>
      <c r="D112" s="342"/>
      <c r="E112" s="342"/>
      <c r="F112" s="342"/>
      <c r="G112" s="342"/>
      <c r="H112" s="342"/>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345" t="s">
        <v>22</v>
      </c>
    </row>
    <row r="115" spans="1:12" x14ac:dyDescent="0.2">
      <c r="A115" s="340" t="s">
        <v>1</v>
      </c>
      <c r="B115" s="373" t="str">
        <f>A19</f>
        <v>MÓDULO 1 - COMPOSIÇÃO DA REMUNERAÇÃO</v>
      </c>
      <c r="C115" s="373"/>
      <c r="D115" s="373"/>
      <c r="E115" s="373"/>
      <c r="F115" s="373"/>
      <c r="G115" s="373"/>
      <c r="H115" s="373"/>
      <c r="I115" s="16">
        <f>I28</f>
        <v>1075</v>
      </c>
      <c r="K115" s="20"/>
      <c r="L115" s="53"/>
    </row>
    <row r="116" spans="1:12" x14ac:dyDescent="0.2">
      <c r="A116" s="340" t="s">
        <v>3</v>
      </c>
      <c r="B116" s="373" t="str">
        <f>A30</f>
        <v>MÓDULO 2 – ENCARGOS E BENEFÍCIOS ANUAIS, MENSAIS E DIÁRIOS</v>
      </c>
      <c r="C116" s="373"/>
      <c r="D116" s="373"/>
      <c r="E116" s="373"/>
      <c r="F116" s="373"/>
      <c r="G116" s="373"/>
      <c r="H116" s="373"/>
      <c r="I116" s="16">
        <f>I61</f>
        <v>889.55877824999993</v>
      </c>
    </row>
    <row r="117" spans="1:12" x14ac:dyDescent="0.2">
      <c r="A117" s="340" t="s">
        <v>5</v>
      </c>
      <c r="B117" s="373" t="str">
        <f>A63</f>
        <v>MÓDULO 3 – PROVISÃO PARA RESCISÃO</v>
      </c>
      <c r="C117" s="373"/>
      <c r="D117" s="373"/>
      <c r="E117" s="373"/>
      <c r="F117" s="373"/>
      <c r="G117" s="373"/>
      <c r="H117" s="373"/>
      <c r="I117" s="16">
        <f>I71</f>
        <v>67.599375500000008</v>
      </c>
    </row>
    <row r="118" spans="1:12" x14ac:dyDescent="0.2">
      <c r="A118" s="340" t="s">
        <v>7</v>
      </c>
      <c r="B118" s="373" t="str">
        <f>A73</f>
        <v>MÓDULO 4 – CUSTO DE REPOSIÇÃO DO PROFISSIONAL AUSENTE</v>
      </c>
      <c r="C118" s="373"/>
      <c r="D118" s="373"/>
      <c r="E118" s="373"/>
      <c r="F118" s="373"/>
      <c r="G118" s="373"/>
      <c r="H118" s="373"/>
      <c r="I118" s="16">
        <f>I92</f>
        <v>93.847500000000011</v>
      </c>
    </row>
    <row r="119" spans="1:12" x14ac:dyDescent="0.2">
      <c r="A119" s="340" t="s">
        <v>27</v>
      </c>
      <c r="B119" s="373" t="str">
        <f>A94</f>
        <v>MÓDULO 5 – INSUMOS DIVERSOS</v>
      </c>
      <c r="C119" s="373"/>
      <c r="D119" s="373"/>
      <c r="E119" s="373"/>
      <c r="F119" s="373"/>
      <c r="G119" s="373"/>
      <c r="H119" s="373"/>
      <c r="I119" s="16">
        <f>I100</f>
        <v>1376.398842751468</v>
      </c>
    </row>
    <row r="120" spans="1:12" x14ac:dyDescent="0.2">
      <c r="A120" s="345"/>
      <c r="B120" s="389" t="s">
        <v>100</v>
      </c>
      <c r="C120" s="389"/>
      <c r="D120" s="389"/>
      <c r="E120" s="389"/>
      <c r="F120" s="389"/>
      <c r="G120" s="389"/>
      <c r="H120" s="389"/>
      <c r="I120" s="13">
        <f>(SUM(I115:I119))</f>
        <v>3502.4044965014682</v>
      </c>
    </row>
    <row r="121" spans="1:12" x14ac:dyDescent="0.2">
      <c r="A121" s="340" t="s">
        <v>29</v>
      </c>
      <c r="B121" s="373" t="str">
        <f>A102</f>
        <v>MÓDULO 6 – CUSTOS INDIRETOS, TRIBUTOS E LUCRO</v>
      </c>
      <c r="C121" s="373"/>
      <c r="D121" s="373"/>
      <c r="E121" s="373"/>
      <c r="F121" s="373"/>
      <c r="G121" s="373"/>
      <c r="H121" s="373"/>
      <c r="I121" s="5">
        <f>I110</f>
        <v>733.08949288841075</v>
      </c>
    </row>
    <row r="122" spans="1:12" x14ac:dyDescent="0.2">
      <c r="A122" s="389" t="s">
        <v>101</v>
      </c>
      <c r="B122" s="389"/>
      <c r="C122" s="389"/>
      <c r="D122" s="389"/>
      <c r="E122" s="389"/>
      <c r="F122" s="389"/>
      <c r="G122" s="389"/>
      <c r="H122" s="389"/>
      <c r="I122" s="13">
        <f>(SUM(I120:I121))</f>
        <v>4235.4939893898791</v>
      </c>
      <c r="K122" s="350"/>
    </row>
    <row r="123" spans="1:12" x14ac:dyDescent="0.2">
      <c r="I123" s="20"/>
      <c r="K123" s="350"/>
    </row>
    <row r="124" spans="1:12" hidden="1" x14ac:dyDescent="0.2">
      <c r="A124" s="342"/>
      <c r="B124" s="379" t="s">
        <v>102</v>
      </c>
      <c r="C124" s="379"/>
      <c r="D124" s="379"/>
      <c r="E124" s="379"/>
      <c r="F124" s="379"/>
      <c r="G124" s="379"/>
      <c r="H124" s="8"/>
      <c r="I124" s="8"/>
      <c r="K124" s="350"/>
    </row>
    <row r="125" spans="1:12" ht="40.5" hidden="1" customHeight="1" x14ac:dyDescent="0.2">
      <c r="A125" s="385" t="s">
        <v>103</v>
      </c>
      <c r="B125" s="385"/>
      <c r="C125" s="385" t="s">
        <v>104</v>
      </c>
      <c r="D125" s="385"/>
      <c r="E125" s="385" t="s">
        <v>105</v>
      </c>
      <c r="F125" s="385"/>
      <c r="G125" s="28" t="s">
        <v>106</v>
      </c>
      <c r="H125" s="344" t="s">
        <v>107</v>
      </c>
      <c r="I125" s="343"/>
      <c r="K125" s="350"/>
    </row>
    <row r="126" spans="1:12" hidden="1" x14ac:dyDescent="0.2">
      <c r="A126" s="386" t="s">
        <v>108</v>
      </c>
      <c r="B126" s="386"/>
      <c r="C126" s="387" t="s">
        <v>109</v>
      </c>
      <c r="D126" s="387"/>
      <c r="E126" s="388"/>
      <c r="F126" s="388"/>
      <c r="G126" s="29" t="s">
        <v>109</v>
      </c>
      <c r="H126" s="30"/>
      <c r="I126" s="31"/>
      <c r="K126" s="350"/>
    </row>
    <row r="127" spans="1:12" hidden="1" x14ac:dyDescent="0.2">
      <c r="A127" s="381" t="s">
        <v>110</v>
      </c>
      <c r="B127" s="381"/>
      <c r="C127" s="382" t="s">
        <v>109</v>
      </c>
      <c r="D127" s="382"/>
      <c r="E127" s="383"/>
      <c r="F127" s="383"/>
      <c r="G127" s="32" t="s">
        <v>109</v>
      </c>
      <c r="H127" s="33"/>
      <c r="I127" s="34"/>
      <c r="K127" s="350"/>
    </row>
    <row r="128" spans="1:12" hidden="1" x14ac:dyDescent="0.2">
      <c r="A128" s="381" t="s">
        <v>111</v>
      </c>
      <c r="B128" s="381"/>
      <c r="C128" s="382" t="s">
        <v>109</v>
      </c>
      <c r="D128" s="382"/>
      <c r="E128" s="383"/>
      <c r="F128" s="383"/>
      <c r="G128" s="32" t="s">
        <v>109</v>
      </c>
      <c r="H128" s="33"/>
      <c r="I128" s="34"/>
      <c r="K128" s="350"/>
    </row>
    <row r="129" spans="1:11" hidden="1" x14ac:dyDescent="0.2">
      <c r="A129" s="381" t="s">
        <v>112</v>
      </c>
      <c r="B129" s="381"/>
      <c r="C129" s="382" t="s">
        <v>109</v>
      </c>
      <c r="D129" s="382"/>
      <c r="E129" s="383"/>
      <c r="F129" s="383"/>
      <c r="G129" s="32" t="s">
        <v>109</v>
      </c>
      <c r="H129" s="33"/>
      <c r="I129" s="34"/>
      <c r="K129" s="350"/>
    </row>
    <row r="130" spans="1:11" hidden="1" x14ac:dyDescent="0.2">
      <c r="A130" s="384"/>
      <c r="B130" s="384"/>
      <c r="C130" s="383"/>
      <c r="D130" s="383"/>
      <c r="E130" s="383"/>
      <c r="F130" s="383"/>
      <c r="G130" s="35"/>
      <c r="H130" s="36"/>
      <c r="I130" s="34"/>
      <c r="K130" s="350"/>
    </row>
    <row r="131" spans="1:11" ht="13.5" hidden="1" thickBot="1" x14ac:dyDescent="0.25">
      <c r="A131" s="376"/>
      <c r="B131" s="376"/>
      <c r="C131" s="377"/>
      <c r="D131" s="377"/>
      <c r="E131" s="377"/>
      <c r="F131" s="377"/>
      <c r="G131" s="37"/>
      <c r="H131" s="38"/>
      <c r="I131" s="39"/>
      <c r="K131" s="350"/>
    </row>
    <row r="132" spans="1:11" ht="13.5" hidden="1" thickBot="1" x14ac:dyDescent="0.25">
      <c r="A132" s="378" t="s">
        <v>113</v>
      </c>
      <c r="B132" s="378"/>
      <c r="C132" s="378"/>
      <c r="D132" s="378"/>
      <c r="E132" s="378"/>
      <c r="F132" s="378"/>
      <c r="G132" s="378"/>
      <c r="H132" s="378"/>
      <c r="I132" s="40"/>
      <c r="K132" s="350"/>
    </row>
    <row r="133" spans="1:11" x14ac:dyDescent="0.2">
      <c r="I133" s="20"/>
    </row>
    <row r="134" spans="1:11" hidden="1" x14ac:dyDescent="0.2">
      <c r="A134" s="342"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341"/>
      <c r="B136" s="371" t="s">
        <v>117</v>
      </c>
      <c r="C136" s="371"/>
      <c r="D136" s="371"/>
      <c r="E136" s="371"/>
      <c r="F136" s="371"/>
      <c r="G136" s="371"/>
      <c r="H136" s="371"/>
      <c r="I136" s="343" t="s">
        <v>22</v>
      </c>
    </row>
    <row r="137" spans="1:11" hidden="1" x14ac:dyDescent="0.2">
      <c r="A137" s="41" t="s">
        <v>1</v>
      </c>
      <c r="B137" s="372" t="s">
        <v>118</v>
      </c>
      <c r="C137" s="372"/>
      <c r="D137" s="372"/>
      <c r="E137" s="372"/>
      <c r="F137" s="372"/>
      <c r="G137" s="372"/>
      <c r="H137" s="372"/>
      <c r="I137" s="42">
        <f>I107</f>
        <v>27.530710931034214</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733.08949288841075</v>
      </c>
    </row>
    <row r="140" spans="1:11" ht="13.5" hidden="1" thickBot="1" x14ac:dyDescent="0.25">
      <c r="A140" s="375" t="s">
        <v>121</v>
      </c>
      <c r="B140" s="375"/>
      <c r="C140" s="375"/>
      <c r="D140" s="375"/>
      <c r="E140" s="375"/>
      <c r="F140" s="375"/>
      <c r="G140" s="375"/>
      <c r="H140" s="375"/>
      <c r="I140" s="40" t="e">
        <f>SUM(I137:I139)</f>
        <v>#REF!</v>
      </c>
    </row>
    <row r="141" spans="1:11" hidden="1" x14ac:dyDescent="0.2">
      <c r="A141" s="342" t="s">
        <v>122</v>
      </c>
      <c r="B141" s="45" t="s">
        <v>123</v>
      </c>
    </row>
    <row r="143" spans="1:11" ht="15.75" thickBot="1" x14ac:dyDescent="0.25">
      <c r="A143" s="195" t="s">
        <v>242</v>
      </c>
      <c r="B143" s="195"/>
      <c r="C143" s="195"/>
      <c r="D143" s="195"/>
      <c r="E143" s="195"/>
      <c r="F143" s="195"/>
      <c r="G143" s="195"/>
      <c r="H143" s="195"/>
    </row>
    <row r="144" spans="1:11" ht="15" x14ac:dyDescent="0.2">
      <c r="A144" s="419" t="s">
        <v>243</v>
      </c>
      <c r="B144" s="420"/>
      <c r="C144" s="421"/>
      <c r="D144" s="196" t="s">
        <v>244</v>
      </c>
      <c r="E144" s="419" t="s">
        <v>245</v>
      </c>
      <c r="F144" s="421"/>
      <c r="G144" s="419" t="s">
        <v>246</v>
      </c>
      <c r="H144" s="421"/>
    </row>
    <row r="145" spans="1:8" ht="15.75" thickBot="1" x14ac:dyDescent="0.25">
      <c r="A145" s="197"/>
      <c r="B145" s="198"/>
      <c r="C145" s="199"/>
      <c r="D145" s="200" t="s">
        <v>247</v>
      </c>
      <c r="E145" s="422" t="s">
        <v>248</v>
      </c>
      <c r="F145" s="423"/>
      <c r="G145" s="422" t="s">
        <v>249</v>
      </c>
      <c r="H145" s="423"/>
    </row>
    <row r="146" spans="1:8" ht="15.75" thickBot="1" x14ac:dyDescent="0.25">
      <c r="A146" s="201" t="s">
        <v>134</v>
      </c>
      <c r="B146" s="202"/>
      <c r="C146" s="202"/>
      <c r="D146" s="203">
        <f>1/(30*2250)</f>
        <v>1.4814814814814815E-5</v>
      </c>
      <c r="E146" s="424">
        <v>0</v>
      </c>
      <c r="F146" s="425"/>
      <c r="G146" s="426">
        <f>D146*E146</f>
        <v>0</v>
      </c>
      <c r="H146" s="427"/>
    </row>
    <row r="147" spans="1:8" ht="15.75" thickBot="1" x14ac:dyDescent="0.25">
      <c r="A147" s="204" t="s">
        <v>140</v>
      </c>
      <c r="B147" s="205"/>
      <c r="C147" s="205"/>
      <c r="D147" s="206">
        <f>1/2250</f>
        <v>4.4444444444444447E-4</v>
      </c>
      <c r="E147" s="428">
        <f>I122</f>
        <v>4235.4939893898791</v>
      </c>
      <c r="F147" s="418"/>
      <c r="G147" s="426">
        <f>D147*E147</f>
        <v>1.8824417730621685</v>
      </c>
      <c r="H147" s="427"/>
    </row>
    <row r="148" spans="1:8" ht="15.75" thickBot="1" x14ac:dyDescent="0.25">
      <c r="A148" s="417" t="s">
        <v>250</v>
      </c>
      <c r="B148" s="418"/>
      <c r="C148" s="418"/>
      <c r="D148" s="418"/>
      <c r="E148" s="418"/>
      <c r="F148" s="418"/>
      <c r="G148" s="204"/>
      <c r="H148" s="207">
        <f>SUM(G146:H147)</f>
        <v>1.8824417730621685</v>
      </c>
    </row>
  </sheetData>
  <mergeCells count="181">
    <mergeCell ref="B4:H4"/>
    <mergeCell ref="L4:M4"/>
    <mergeCell ref="N4:Q4"/>
    <mergeCell ref="R4:S4"/>
    <mergeCell ref="B5:H5"/>
    <mergeCell ref="K5:S5"/>
    <mergeCell ref="A2:I2"/>
    <mergeCell ref="K2:S2"/>
    <mergeCell ref="B3:H3"/>
    <mergeCell ref="L3:M3"/>
    <mergeCell ref="N3:Q3"/>
    <mergeCell ref="R3:S3"/>
    <mergeCell ref="B6:H6"/>
    <mergeCell ref="K6:S6"/>
    <mergeCell ref="K7:S7"/>
    <mergeCell ref="A8:I8"/>
    <mergeCell ref="K8:S8"/>
    <mergeCell ref="A9:B9"/>
    <mergeCell ref="C9:D9"/>
    <mergeCell ref="E9:I9"/>
    <mergeCell ref="L9:Q9"/>
    <mergeCell ref="R9:S9"/>
    <mergeCell ref="A12:I12"/>
    <mergeCell ref="L12:Q12"/>
    <mergeCell ref="R12:S12"/>
    <mergeCell ref="B13:H13"/>
    <mergeCell ref="B14:H14"/>
    <mergeCell ref="B15:H15"/>
    <mergeCell ref="A10:B10"/>
    <mergeCell ref="C10:D10"/>
    <mergeCell ref="E10:I10"/>
    <mergeCell ref="L10:Q10"/>
    <mergeCell ref="R10:S10"/>
    <mergeCell ref="L11:Q11"/>
    <mergeCell ref="R11:S11"/>
    <mergeCell ref="B22:G22"/>
    <mergeCell ref="B23:G23"/>
    <mergeCell ref="B24:G24"/>
    <mergeCell ref="B25:G25"/>
    <mergeCell ref="B26:G26"/>
    <mergeCell ref="B27:G27"/>
    <mergeCell ref="B16:H16"/>
    <mergeCell ref="B17:H17"/>
    <mergeCell ref="A18:I18"/>
    <mergeCell ref="A19:I19"/>
    <mergeCell ref="B20:G20"/>
    <mergeCell ref="B21:G21"/>
    <mergeCell ref="K37:K45"/>
    <mergeCell ref="B38:G38"/>
    <mergeCell ref="B39:G39"/>
    <mergeCell ref="B40:G40"/>
    <mergeCell ref="B41:G41"/>
    <mergeCell ref="B42:G42"/>
    <mergeCell ref="B43:G43"/>
    <mergeCell ref="A28:H28"/>
    <mergeCell ref="A30:I30"/>
    <mergeCell ref="A31:G31"/>
    <mergeCell ref="B32:G32"/>
    <mergeCell ref="B33:G33"/>
    <mergeCell ref="B34:G34"/>
    <mergeCell ref="B44:G44"/>
    <mergeCell ref="B45:G45"/>
    <mergeCell ref="A46:G46"/>
    <mergeCell ref="A47:I47"/>
    <mergeCell ref="A48:G48"/>
    <mergeCell ref="B49:G49"/>
    <mergeCell ref="A35:G35"/>
    <mergeCell ref="A36:I36"/>
    <mergeCell ref="A37:G37"/>
    <mergeCell ref="A56:I56"/>
    <mergeCell ref="A57:H57"/>
    <mergeCell ref="B58:H58"/>
    <mergeCell ref="B59:H59"/>
    <mergeCell ref="B60:H60"/>
    <mergeCell ref="A61:H61"/>
    <mergeCell ref="B50:G50"/>
    <mergeCell ref="B51:G51"/>
    <mergeCell ref="B52:G52"/>
    <mergeCell ref="B53:G53"/>
    <mergeCell ref="A54:H54"/>
    <mergeCell ref="A55:I55"/>
    <mergeCell ref="B68:G68"/>
    <mergeCell ref="B69:G69"/>
    <mergeCell ref="B70:G70"/>
    <mergeCell ref="A71:G71"/>
    <mergeCell ref="A72:I72"/>
    <mergeCell ref="A73:I73"/>
    <mergeCell ref="A62:I62"/>
    <mergeCell ref="A63:I63"/>
    <mergeCell ref="B64:G64"/>
    <mergeCell ref="B65:G65"/>
    <mergeCell ref="B66:G66"/>
    <mergeCell ref="B67:G67"/>
    <mergeCell ref="B80:G80"/>
    <mergeCell ref="A81:G81"/>
    <mergeCell ref="A82:I82"/>
    <mergeCell ref="A83:G83"/>
    <mergeCell ref="B84:G84"/>
    <mergeCell ref="A85:G85"/>
    <mergeCell ref="A74:G74"/>
    <mergeCell ref="B75:G75"/>
    <mergeCell ref="B76:G76"/>
    <mergeCell ref="B77:G77"/>
    <mergeCell ref="B78:G78"/>
    <mergeCell ref="B79:G79"/>
    <mergeCell ref="A92:H92"/>
    <mergeCell ref="A93:I93"/>
    <mergeCell ref="A94:I94"/>
    <mergeCell ref="B95:G95"/>
    <mergeCell ref="B96:G96"/>
    <mergeCell ref="B97:G97"/>
    <mergeCell ref="A86:I86"/>
    <mergeCell ref="A87:I87"/>
    <mergeCell ref="A88:H88"/>
    <mergeCell ref="B89:H89"/>
    <mergeCell ref="B90:H90"/>
    <mergeCell ref="B91:H91"/>
    <mergeCell ref="B104:G104"/>
    <mergeCell ref="B105:G105"/>
    <mergeCell ref="B106:G106"/>
    <mergeCell ref="B107:G107"/>
    <mergeCell ref="B108:G108"/>
    <mergeCell ref="B109:G109"/>
    <mergeCell ref="B98:G98"/>
    <mergeCell ref="B99:G99"/>
    <mergeCell ref="A100:G100"/>
    <mergeCell ref="A101:I101"/>
    <mergeCell ref="A102:I102"/>
    <mergeCell ref="B103:G103"/>
    <mergeCell ref="B117:H117"/>
    <mergeCell ref="B118:H118"/>
    <mergeCell ref="B119:H119"/>
    <mergeCell ref="B120:H120"/>
    <mergeCell ref="B121:H121"/>
    <mergeCell ref="A122:H122"/>
    <mergeCell ref="A110:G110"/>
    <mergeCell ref="B111:I111"/>
    <mergeCell ref="A113:I113"/>
    <mergeCell ref="A114:H114"/>
    <mergeCell ref="B115:H115"/>
    <mergeCell ref="B116:H116"/>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48:F148"/>
    <mergeCell ref="E145:F145"/>
    <mergeCell ref="G145:H145"/>
    <mergeCell ref="E146:F146"/>
    <mergeCell ref="G146:H146"/>
    <mergeCell ref="E147:F147"/>
    <mergeCell ref="G147:H147"/>
    <mergeCell ref="B136:H136"/>
    <mergeCell ref="B137:H137"/>
    <mergeCell ref="B138:H138"/>
    <mergeCell ref="B139:H139"/>
    <mergeCell ref="A140:H140"/>
    <mergeCell ref="A144:C144"/>
    <mergeCell ref="E144:F144"/>
    <mergeCell ref="G144:H144"/>
  </mergeCells>
  <pageMargins left="0.25" right="0.25" top="0.75" bottom="0.75" header="0.3" footer="0.3"/>
  <pageSetup paperSize="9" firstPageNumber="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98D67-2406-43A6-8E4B-893B60B1E218}">
  <sheetPr>
    <tabColor rgb="FF7030A0"/>
  </sheetPr>
  <dimension ref="A2:S148"/>
  <sheetViews>
    <sheetView tabSelected="1" topLeftCell="A14" zoomScale="118" zoomScaleNormal="118" workbookViewId="0">
      <selection activeCell="I104" sqref="I104"/>
    </sheetView>
  </sheetViews>
  <sheetFormatPr defaultColWidth="9.140625" defaultRowHeight="12.75" x14ac:dyDescent="0.2"/>
  <cols>
    <col min="1" max="1" width="9.140625" style="45"/>
    <col min="2" max="2" width="13.85546875" style="45" customWidth="1"/>
    <col min="3" max="3" width="9.140625" style="45"/>
    <col min="4" max="4" width="24" style="45" bestFit="1" customWidth="1"/>
    <col min="5" max="5" width="9.140625" style="45"/>
    <col min="6" max="6" width="20.42578125" style="45" customWidth="1"/>
    <col min="7" max="7" width="9.140625" style="45"/>
    <col min="8" max="8" width="21.140625" style="45" customWidth="1"/>
    <col min="9" max="9" width="26.7109375" style="45" bestFit="1" customWidth="1"/>
    <col min="10" max="10" width="9.140625" style="47"/>
    <col min="11" max="11" width="18.140625" style="45" customWidth="1"/>
    <col min="12" max="12" width="9.140625" style="45"/>
    <col min="13" max="13" width="10.85546875" style="45" bestFit="1" customWidth="1"/>
    <col min="14" max="16384" width="9.140625" style="45"/>
  </cols>
  <sheetData>
    <row r="2" spans="1:19" x14ac:dyDescent="0.2">
      <c r="A2" s="395" t="s">
        <v>0</v>
      </c>
      <c r="B2" s="395"/>
      <c r="C2" s="395"/>
      <c r="D2" s="395"/>
      <c r="E2" s="395"/>
      <c r="F2" s="395"/>
      <c r="G2" s="395"/>
      <c r="H2" s="395"/>
      <c r="I2" s="395"/>
      <c r="K2" s="415"/>
      <c r="L2" s="415"/>
      <c r="M2" s="415"/>
      <c r="N2" s="415"/>
      <c r="O2" s="415"/>
      <c r="P2" s="415"/>
      <c r="Q2" s="415"/>
      <c r="R2" s="415"/>
      <c r="S2" s="415"/>
    </row>
    <row r="3" spans="1:19" x14ac:dyDescent="0.2">
      <c r="A3" s="340" t="s">
        <v>1</v>
      </c>
      <c r="B3" s="373" t="s">
        <v>2</v>
      </c>
      <c r="C3" s="373"/>
      <c r="D3" s="373"/>
      <c r="E3" s="373"/>
      <c r="F3" s="373"/>
      <c r="G3" s="373"/>
      <c r="H3" s="373"/>
      <c r="I3" s="1">
        <v>44182</v>
      </c>
      <c r="K3" s="347"/>
      <c r="L3" s="410"/>
      <c r="M3" s="410"/>
      <c r="N3" s="410"/>
      <c r="O3" s="410"/>
      <c r="P3" s="410"/>
      <c r="Q3" s="410"/>
      <c r="R3" s="416"/>
      <c r="S3" s="416"/>
    </row>
    <row r="4" spans="1:19" x14ac:dyDescent="0.2">
      <c r="A4" s="340" t="s">
        <v>3</v>
      </c>
      <c r="B4" s="373" t="s">
        <v>4</v>
      </c>
      <c r="C4" s="373"/>
      <c r="D4" s="373"/>
      <c r="E4" s="373"/>
      <c r="F4" s="373"/>
      <c r="G4" s="373"/>
      <c r="H4" s="373"/>
      <c r="I4" s="340" t="s">
        <v>183</v>
      </c>
      <c r="K4" s="347"/>
      <c r="L4" s="407"/>
      <c r="M4" s="407"/>
      <c r="N4" s="410"/>
      <c r="O4" s="410"/>
      <c r="P4" s="410"/>
      <c r="Q4" s="410"/>
      <c r="R4" s="410"/>
      <c r="S4" s="410"/>
    </row>
    <row r="5" spans="1:19" x14ac:dyDescent="0.2">
      <c r="A5" s="340" t="s">
        <v>5</v>
      </c>
      <c r="B5" s="373" t="s">
        <v>6</v>
      </c>
      <c r="C5" s="373"/>
      <c r="D5" s="373"/>
      <c r="E5" s="373"/>
      <c r="F5" s="373"/>
      <c r="G5" s="373"/>
      <c r="H5" s="373"/>
      <c r="I5" s="340">
        <v>2020</v>
      </c>
      <c r="K5" s="414"/>
      <c r="L5" s="414"/>
      <c r="M5" s="414"/>
      <c r="N5" s="414"/>
      <c r="O5" s="414"/>
      <c r="P5" s="414"/>
      <c r="Q5" s="414"/>
      <c r="R5" s="414"/>
      <c r="S5" s="414"/>
    </row>
    <row r="6" spans="1:19" x14ac:dyDescent="0.2">
      <c r="A6" s="340" t="s">
        <v>7</v>
      </c>
      <c r="B6" s="373" t="s">
        <v>8</v>
      </c>
      <c r="C6" s="373"/>
      <c r="D6" s="373"/>
      <c r="E6" s="373"/>
      <c r="F6" s="373"/>
      <c r="G6" s="373"/>
      <c r="H6" s="373"/>
      <c r="I6" s="340">
        <v>12</v>
      </c>
      <c r="K6" s="414"/>
      <c r="L6" s="414"/>
      <c r="M6" s="414"/>
      <c r="N6" s="414"/>
      <c r="O6" s="414"/>
      <c r="P6" s="414"/>
      <c r="Q6" s="414"/>
      <c r="R6" s="414"/>
      <c r="S6" s="414"/>
    </row>
    <row r="7" spans="1:19" x14ac:dyDescent="0.2">
      <c r="A7" s="342"/>
      <c r="B7" s="346"/>
      <c r="C7" s="346"/>
      <c r="D7" s="346"/>
      <c r="E7" s="346"/>
      <c r="F7" s="346"/>
      <c r="G7" s="346"/>
      <c r="H7" s="342"/>
      <c r="I7" s="342"/>
      <c r="K7" s="414"/>
      <c r="L7" s="414"/>
      <c r="M7" s="414"/>
      <c r="N7" s="414"/>
      <c r="O7" s="414"/>
      <c r="P7" s="414"/>
      <c r="Q7" s="414"/>
      <c r="R7" s="414"/>
      <c r="S7" s="414"/>
    </row>
    <row r="8" spans="1:19" x14ac:dyDescent="0.2">
      <c r="A8" s="395" t="s">
        <v>9</v>
      </c>
      <c r="B8" s="395"/>
      <c r="C8" s="395"/>
      <c r="D8" s="395"/>
      <c r="E8" s="395"/>
      <c r="F8" s="395"/>
      <c r="G8" s="395"/>
      <c r="H8" s="395"/>
      <c r="I8" s="395"/>
      <c r="K8" s="415"/>
      <c r="L8" s="415"/>
      <c r="M8" s="415"/>
      <c r="N8" s="415"/>
      <c r="O8" s="415"/>
      <c r="P8" s="415"/>
      <c r="Q8" s="415"/>
      <c r="R8" s="415"/>
      <c r="S8" s="415"/>
    </row>
    <row r="9" spans="1:19" x14ac:dyDescent="0.2">
      <c r="A9" s="370" t="s">
        <v>10</v>
      </c>
      <c r="B9" s="370"/>
      <c r="C9" s="370" t="s">
        <v>11</v>
      </c>
      <c r="D9" s="370"/>
      <c r="E9" s="370" t="s">
        <v>12</v>
      </c>
      <c r="F9" s="370"/>
      <c r="G9" s="370"/>
      <c r="H9" s="370"/>
      <c r="I9" s="370"/>
      <c r="K9" s="347"/>
      <c r="L9" s="406"/>
      <c r="M9" s="406"/>
      <c r="N9" s="406"/>
      <c r="O9" s="406"/>
      <c r="P9" s="406"/>
      <c r="Q9" s="406"/>
      <c r="R9" s="410"/>
      <c r="S9" s="410"/>
    </row>
    <row r="10" spans="1:19" ht="27" customHeight="1" x14ac:dyDescent="0.2">
      <c r="A10" s="411" t="s">
        <v>129</v>
      </c>
      <c r="B10" s="411"/>
      <c r="C10" s="370"/>
      <c r="D10" s="370"/>
      <c r="E10" s="412">
        <v>1</v>
      </c>
      <c r="F10" s="412"/>
      <c r="G10" s="412"/>
      <c r="H10" s="412"/>
      <c r="I10" s="412"/>
      <c r="K10" s="348"/>
      <c r="L10" s="408"/>
      <c r="M10" s="408"/>
      <c r="N10" s="408"/>
      <c r="O10" s="408"/>
      <c r="P10" s="408"/>
      <c r="Q10" s="408"/>
      <c r="R10" s="413"/>
      <c r="S10" s="413"/>
    </row>
    <row r="11" spans="1:19" x14ac:dyDescent="0.2">
      <c r="A11" s="342"/>
      <c r="B11" s="346"/>
      <c r="C11" s="346"/>
      <c r="D11" s="346"/>
      <c r="E11" s="346"/>
      <c r="F11" s="346"/>
      <c r="G11" s="346"/>
      <c r="H11" s="342"/>
      <c r="I11" s="342"/>
      <c r="K11" s="347"/>
      <c r="L11" s="406"/>
      <c r="M11" s="406"/>
      <c r="N11" s="406"/>
      <c r="O11" s="406"/>
      <c r="P11" s="406"/>
      <c r="Q11" s="406"/>
      <c r="R11" s="407"/>
      <c r="S11" s="407"/>
    </row>
    <row r="12" spans="1:19" x14ac:dyDescent="0.2">
      <c r="A12" s="395" t="s">
        <v>13</v>
      </c>
      <c r="B12" s="395"/>
      <c r="C12" s="395"/>
      <c r="D12" s="395"/>
      <c r="E12" s="395"/>
      <c r="F12" s="395"/>
      <c r="G12" s="395"/>
      <c r="H12" s="395"/>
      <c r="I12" s="395"/>
      <c r="K12" s="348"/>
      <c r="L12" s="408"/>
      <c r="M12" s="408"/>
      <c r="N12" s="408"/>
      <c r="O12" s="408"/>
      <c r="P12" s="408"/>
      <c r="Q12" s="408"/>
      <c r="R12" s="409"/>
      <c r="S12" s="409"/>
    </row>
    <row r="13" spans="1:19" x14ac:dyDescent="0.2">
      <c r="A13" s="340">
        <v>1</v>
      </c>
      <c r="B13" s="373" t="s">
        <v>14</v>
      </c>
      <c r="C13" s="373"/>
      <c r="D13" s="373"/>
      <c r="E13" s="373"/>
      <c r="F13" s="373"/>
      <c r="G13" s="373"/>
      <c r="H13" s="373"/>
      <c r="I13" s="50" t="s">
        <v>184</v>
      </c>
      <c r="K13" s="2"/>
      <c r="L13" s="2"/>
      <c r="M13" s="2"/>
      <c r="N13" s="2"/>
      <c r="O13" s="2"/>
      <c r="P13" s="2"/>
      <c r="Q13" s="2"/>
      <c r="R13" s="2"/>
      <c r="S13" s="2"/>
    </row>
    <row r="14" spans="1:19" x14ac:dyDescent="0.2">
      <c r="A14" s="340">
        <v>2</v>
      </c>
      <c r="B14" s="373" t="s">
        <v>15</v>
      </c>
      <c r="C14" s="373"/>
      <c r="D14" s="373"/>
      <c r="E14" s="373"/>
      <c r="F14" s="373"/>
      <c r="G14" s="373"/>
      <c r="H14" s="373"/>
      <c r="I14" s="340"/>
    </row>
    <row r="15" spans="1:19" x14ac:dyDescent="0.2">
      <c r="A15" s="340">
        <v>3</v>
      </c>
      <c r="B15" s="373" t="s">
        <v>16</v>
      </c>
      <c r="C15" s="373"/>
      <c r="D15" s="373"/>
      <c r="E15" s="373"/>
      <c r="F15" s="373"/>
      <c r="G15" s="373"/>
      <c r="H15" s="373"/>
      <c r="I15" s="3">
        <v>1075</v>
      </c>
    </row>
    <row r="16" spans="1:19" x14ac:dyDescent="0.2">
      <c r="A16" s="340">
        <v>4</v>
      </c>
      <c r="B16" s="373" t="s">
        <v>17</v>
      </c>
      <c r="C16" s="373"/>
      <c r="D16" s="373"/>
      <c r="E16" s="373"/>
      <c r="F16" s="373"/>
      <c r="G16" s="373"/>
      <c r="H16" s="373"/>
      <c r="I16" s="1" t="str">
        <f>A10</f>
        <v>ASG</v>
      </c>
    </row>
    <row r="17" spans="1:12" x14ac:dyDescent="0.2">
      <c r="A17" s="340">
        <v>5</v>
      </c>
      <c r="B17" s="373" t="s">
        <v>18</v>
      </c>
      <c r="C17" s="373"/>
      <c r="D17" s="373"/>
      <c r="E17" s="373"/>
      <c r="F17" s="373"/>
      <c r="G17" s="373"/>
      <c r="H17" s="373"/>
      <c r="I17" s="1">
        <v>43831</v>
      </c>
    </row>
    <row r="18" spans="1:12" x14ac:dyDescent="0.2">
      <c r="A18" s="405"/>
      <c r="B18" s="405"/>
      <c r="C18" s="405"/>
      <c r="D18" s="405"/>
      <c r="E18" s="405"/>
      <c r="F18" s="405"/>
      <c r="G18" s="405"/>
      <c r="H18" s="405"/>
      <c r="I18" s="405"/>
    </row>
    <row r="19" spans="1:12" x14ac:dyDescent="0.2">
      <c r="A19" s="395" t="s">
        <v>19</v>
      </c>
      <c r="B19" s="395"/>
      <c r="C19" s="395"/>
      <c r="D19" s="395"/>
      <c r="E19" s="395"/>
      <c r="F19" s="395"/>
      <c r="G19" s="395"/>
      <c r="H19" s="395"/>
      <c r="I19" s="395"/>
    </row>
    <row r="20" spans="1:12" x14ac:dyDescent="0.2">
      <c r="A20" s="345">
        <v>1</v>
      </c>
      <c r="B20" s="389" t="s">
        <v>20</v>
      </c>
      <c r="C20" s="389"/>
      <c r="D20" s="389"/>
      <c r="E20" s="389"/>
      <c r="F20" s="389"/>
      <c r="G20" s="389"/>
      <c r="H20" s="345" t="s">
        <v>21</v>
      </c>
      <c r="I20" s="345" t="s">
        <v>22</v>
      </c>
    </row>
    <row r="21" spans="1:12" x14ac:dyDescent="0.2">
      <c r="A21" s="345" t="s">
        <v>1</v>
      </c>
      <c r="B21" s="373" t="s">
        <v>23</v>
      </c>
      <c r="C21" s="373"/>
      <c r="D21" s="373"/>
      <c r="E21" s="373"/>
      <c r="F21" s="373"/>
      <c r="G21" s="373"/>
      <c r="H21" s="4"/>
      <c r="I21" s="5">
        <f>I15</f>
        <v>1075</v>
      </c>
      <c r="L21" s="20">
        <f>I35+I46+I71+I81</f>
        <v>708.60565374999999</v>
      </c>
    </row>
    <row r="22" spans="1:12" x14ac:dyDescent="0.2">
      <c r="A22" s="345" t="s">
        <v>3</v>
      </c>
      <c r="B22" s="373" t="s">
        <v>24</v>
      </c>
      <c r="C22" s="373"/>
      <c r="D22" s="373"/>
      <c r="E22" s="373"/>
      <c r="F22" s="373"/>
      <c r="G22" s="373"/>
      <c r="H22" s="6"/>
      <c r="I22" s="5">
        <v>0</v>
      </c>
      <c r="L22" s="53">
        <f>L21/I28</f>
        <v>0.65916805000000001</v>
      </c>
    </row>
    <row r="23" spans="1:12" x14ac:dyDescent="0.2">
      <c r="A23" s="345" t="s">
        <v>5</v>
      </c>
      <c r="B23" s="373" t="s">
        <v>25</v>
      </c>
      <c r="C23" s="373"/>
      <c r="D23" s="373"/>
      <c r="E23" s="373"/>
      <c r="F23" s="373"/>
      <c r="G23" s="373"/>
      <c r="H23" s="6">
        <v>0</v>
      </c>
      <c r="I23" s="5">
        <f>I21*H23</f>
        <v>0</v>
      </c>
    </row>
    <row r="24" spans="1:12" x14ac:dyDescent="0.2">
      <c r="A24" s="345" t="s">
        <v>7</v>
      </c>
      <c r="B24" s="373" t="s">
        <v>26</v>
      </c>
      <c r="C24" s="373"/>
      <c r="D24" s="373"/>
      <c r="E24" s="373"/>
      <c r="F24" s="373"/>
      <c r="G24" s="373"/>
      <c r="H24" s="6"/>
      <c r="I24" s="5">
        <v>0</v>
      </c>
    </row>
    <row r="25" spans="1:12" x14ac:dyDescent="0.2">
      <c r="A25" s="345" t="s">
        <v>27</v>
      </c>
      <c r="B25" s="373" t="s">
        <v>28</v>
      </c>
      <c r="C25" s="373"/>
      <c r="D25" s="373"/>
      <c r="E25" s="373"/>
      <c r="F25" s="373"/>
      <c r="G25" s="373"/>
      <c r="H25" s="6"/>
      <c r="I25" s="5">
        <v>0</v>
      </c>
    </row>
    <row r="26" spans="1:12" x14ac:dyDescent="0.2">
      <c r="A26" s="345" t="s">
        <v>29</v>
      </c>
      <c r="B26" s="373" t="s">
        <v>30</v>
      </c>
      <c r="C26" s="373"/>
      <c r="D26" s="373"/>
      <c r="E26" s="373"/>
      <c r="F26" s="373"/>
      <c r="G26" s="373"/>
      <c r="H26" s="6"/>
      <c r="I26" s="5">
        <v>0</v>
      </c>
    </row>
    <row r="27" spans="1:12" x14ac:dyDescent="0.2">
      <c r="A27" s="345" t="s">
        <v>31</v>
      </c>
      <c r="B27" s="373" t="s">
        <v>32</v>
      </c>
      <c r="C27" s="373"/>
      <c r="D27" s="373"/>
      <c r="E27" s="373"/>
      <c r="F27" s="373"/>
      <c r="G27" s="373"/>
      <c r="H27" s="6"/>
      <c r="I27" s="5">
        <v>0</v>
      </c>
    </row>
    <row r="28" spans="1:12" x14ac:dyDescent="0.2">
      <c r="A28" s="389" t="s">
        <v>33</v>
      </c>
      <c r="B28" s="389"/>
      <c r="C28" s="389"/>
      <c r="D28" s="389"/>
      <c r="E28" s="389"/>
      <c r="F28" s="389"/>
      <c r="G28" s="389"/>
      <c r="H28" s="389"/>
      <c r="I28" s="7">
        <f>(SUM(I21:I27))</f>
        <v>1075</v>
      </c>
    </row>
    <row r="29" spans="1:12" x14ac:dyDescent="0.2">
      <c r="A29" s="8"/>
      <c r="B29" s="8"/>
      <c r="C29" s="8"/>
      <c r="D29" s="8"/>
      <c r="E29" s="8"/>
      <c r="F29" s="8"/>
      <c r="G29" s="8"/>
      <c r="H29" s="8"/>
      <c r="I29" s="9"/>
      <c r="J29" s="48"/>
    </row>
    <row r="30" spans="1:12" x14ac:dyDescent="0.2">
      <c r="A30" s="395" t="s">
        <v>34</v>
      </c>
      <c r="B30" s="395"/>
      <c r="C30" s="395"/>
      <c r="D30" s="395"/>
      <c r="E30" s="395"/>
      <c r="F30" s="395"/>
      <c r="G30" s="395"/>
      <c r="H30" s="395"/>
      <c r="I30" s="395"/>
      <c r="J30" s="48"/>
    </row>
    <row r="31" spans="1:12" x14ac:dyDescent="0.2">
      <c r="A31" s="389" t="s">
        <v>35</v>
      </c>
      <c r="B31" s="389"/>
      <c r="C31" s="389"/>
      <c r="D31" s="389"/>
      <c r="E31" s="389"/>
      <c r="F31" s="389"/>
      <c r="G31" s="389"/>
      <c r="H31" s="345" t="s">
        <v>21</v>
      </c>
      <c r="I31" s="345" t="s">
        <v>22</v>
      </c>
      <c r="J31" s="48"/>
    </row>
    <row r="32" spans="1:12" x14ac:dyDescent="0.2">
      <c r="A32" s="345" t="s">
        <v>1</v>
      </c>
      <c r="B32" s="373" t="s">
        <v>36</v>
      </c>
      <c r="C32" s="373"/>
      <c r="D32" s="373"/>
      <c r="E32" s="373"/>
      <c r="F32" s="373"/>
      <c r="G32" s="373"/>
      <c r="H32" s="10">
        <v>8.3299999999999999E-2</v>
      </c>
      <c r="I32" s="5">
        <f>$I$28*H32</f>
        <v>89.547499999999999</v>
      </c>
      <c r="J32" s="48"/>
    </row>
    <row r="33" spans="1:11" x14ac:dyDescent="0.2">
      <c r="A33" s="345" t="s">
        <v>3</v>
      </c>
      <c r="B33" s="373" t="s">
        <v>185</v>
      </c>
      <c r="C33" s="373"/>
      <c r="D33" s="373"/>
      <c r="E33" s="373"/>
      <c r="F33" s="373"/>
      <c r="G33" s="373"/>
      <c r="H33" s="11">
        <v>2.7799999999999998E-2</v>
      </c>
      <c r="I33" s="5">
        <f>H33*I28</f>
        <v>29.884999999999998</v>
      </c>
      <c r="J33" s="48"/>
    </row>
    <row r="34" spans="1:11" x14ac:dyDescent="0.2">
      <c r="A34" s="345" t="s">
        <v>132</v>
      </c>
      <c r="B34" s="373" t="s">
        <v>133</v>
      </c>
      <c r="C34" s="373"/>
      <c r="D34" s="373"/>
      <c r="E34" s="373"/>
      <c r="F34" s="373"/>
      <c r="G34" s="373"/>
      <c r="H34" s="11">
        <f>(H32+H33)*H46</f>
        <v>3.9784910000000007E-2</v>
      </c>
      <c r="I34" s="5">
        <f>I28*H34</f>
        <v>42.768778250000004</v>
      </c>
      <c r="J34" s="48"/>
    </row>
    <row r="35" spans="1:11" x14ac:dyDescent="0.2">
      <c r="A35" s="389" t="s">
        <v>37</v>
      </c>
      <c r="B35" s="389"/>
      <c r="C35" s="389"/>
      <c r="D35" s="389"/>
      <c r="E35" s="389"/>
      <c r="F35" s="389"/>
      <c r="G35" s="389"/>
      <c r="H35" s="12">
        <f>TRUNC(SUM(H32:H33),4)</f>
        <v>0.1111</v>
      </c>
      <c r="I35" s="13">
        <f>SUM(I32:I34)</f>
        <v>162.20127825</v>
      </c>
      <c r="J35" s="48"/>
    </row>
    <row r="36" spans="1:11" x14ac:dyDescent="0.2">
      <c r="A36" s="403"/>
      <c r="B36" s="403"/>
      <c r="C36" s="403"/>
      <c r="D36" s="403"/>
      <c r="E36" s="403"/>
      <c r="F36" s="403"/>
      <c r="G36" s="403"/>
      <c r="H36" s="403"/>
      <c r="I36" s="403"/>
      <c r="J36" s="48"/>
    </row>
    <row r="37" spans="1:11" x14ac:dyDescent="0.2">
      <c r="A37" s="389" t="s">
        <v>38</v>
      </c>
      <c r="B37" s="389"/>
      <c r="C37" s="389"/>
      <c r="D37" s="389"/>
      <c r="E37" s="389"/>
      <c r="F37" s="389"/>
      <c r="G37" s="389"/>
      <c r="H37" s="345" t="s">
        <v>21</v>
      </c>
      <c r="I37" s="345" t="s">
        <v>22</v>
      </c>
      <c r="J37" s="48"/>
      <c r="K37" s="404"/>
    </row>
    <row r="38" spans="1:11" x14ac:dyDescent="0.2">
      <c r="A38" s="345" t="s">
        <v>1</v>
      </c>
      <c r="B38" s="373" t="s">
        <v>39</v>
      </c>
      <c r="C38" s="373"/>
      <c r="D38" s="373"/>
      <c r="E38" s="373"/>
      <c r="F38" s="373"/>
      <c r="G38" s="373"/>
      <c r="H38" s="10">
        <v>0.2</v>
      </c>
      <c r="I38" s="5">
        <f>($I$28)*H38</f>
        <v>215</v>
      </c>
      <c r="J38" s="48"/>
      <c r="K38" s="404"/>
    </row>
    <row r="39" spans="1:11" x14ac:dyDescent="0.2">
      <c r="A39" s="345" t="s">
        <v>3</v>
      </c>
      <c r="B39" s="373" t="s">
        <v>40</v>
      </c>
      <c r="C39" s="373"/>
      <c r="D39" s="373"/>
      <c r="E39" s="373"/>
      <c r="F39" s="373"/>
      <c r="G39" s="373"/>
      <c r="H39" s="10">
        <v>2.5000000000000001E-2</v>
      </c>
      <c r="I39" s="5">
        <f t="shared" ref="I39:I45" si="0">($I$28)*H39</f>
        <v>26.875</v>
      </c>
      <c r="J39" s="48"/>
      <c r="K39" s="404"/>
    </row>
    <row r="40" spans="1:11" x14ac:dyDescent="0.2">
      <c r="A40" s="345" t="s">
        <v>5</v>
      </c>
      <c r="B40" s="373" t="s">
        <v>41</v>
      </c>
      <c r="C40" s="373"/>
      <c r="D40" s="373"/>
      <c r="E40" s="373"/>
      <c r="F40" s="373"/>
      <c r="G40" s="373"/>
      <c r="H40" s="10">
        <v>2.01E-2</v>
      </c>
      <c r="I40" s="5">
        <f t="shared" si="0"/>
        <v>21.607499999999998</v>
      </c>
      <c r="J40" s="48"/>
      <c r="K40" s="404"/>
    </row>
    <row r="41" spans="1:11" x14ac:dyDescent="0.2">
      <c r="A41" s="345" t="s">
        <v>7</v>
      </c>
      <c r="B41" s="373" t="s">
        <v>42</v>
      </c>
      <c r="C41" s="373"/>
      <c r="D41" s="373"/>
      <c r="E41" s="373"/>
      <c r="F41" s="373"/>
      <c r="G41" s="373"/>
      <c r="H41" s="10">
        <v>1.4999999999999999E-2</v>
      </c>
      <c r="I41" s="5">
        <f t="shared" si="0"/>
        <v>16.125</v>
      </c>
      <c r="J41" s="48"/>
      <c r="K41" s="404"/>
    </row>
    <row r="42" spans="1:11" x14ac:dyDescent="0.2">
      <c r="A42" s="345" t="s">
        <v>27</v>
      </c>
      <c r="B42" s="373" t="s">
        <v>43</v>
      </c>
      <c r="C42" s="373"/>
      <c r="D42" s="373"/>
      <c r="E42" s="373"/>
      <c r="F42" s="373"/>
      <c r="G42" s="373"/>
      <c r="H42" s="10">
        <v>0.01</v>
      </c>
      <c r="I42" s="5">
        <f t="shared" si="0"/>
        <v>10.75</v>
      </c>
      <c r="J42" s="48"/>
      <c r="K42" s="404"/>
    </row>
    <row r="43" spans="1:11" x14ac:dyDescent="0.2">
      <c r="A43" s="345" t="s">
        <v>29</v>
      </c>
      <c r="B43" s="373" t="s">
        <v>44</v>
      </c>
      <c r="C43" s="373"/>
      <c r="D43" s="373"/>
      <c r="E43" s="373"/>
      <c r="F43" s="373"/>
      <c r="G43" s="373"/>
      <c r="H43" s="10">
        <v>6.0000000000000001E-3</v>
      </c>
      <c r="I43" s="5">
        <f t="shared" si="0"/>
        <v>6.45</v>
      </c>
      <c r="J43" s="48"/>
      <c r="K43" s="404"/>
    </row>
    <row r="44" spans="1:11" x14ac:dyDescent="0.2">
      <c r="A44" s="345" t="s">
        <v>31</v>
      </c>
      <c r="B44" s="373" t="s">
        <v>45</v>
      </c>
      <c r="C44" s="373"/>
      <c r="D44" s="373"/>
      <c r="E44" s="373"/>
      <c r="F44" s="373"/>
      <c r="G44" s="373"/>
      <c r="H44" s="10">
        <v>2E-3</v>
      </c>
      <c r="I44" s="5">
        <f t="shared" si="0"/>
        <v>2.15</v>
      </c>
      <c r="J44" s="48"/>
      <c r="K44" s="404"/>
    </row>
    <row r="45" spans="1:11" x14ac:dyDescent="0.2">
      <c r="A45" s="345" t="s">
        <v>46</v>
      </c>
      <c r="B45" s="373" t="s">
        <v>47</v>
      </c>
      <c r="C45" s="373"/>
      <c r="D45" s="373"/>
      <c r="E45" s="373"/>
      <c r="F45" s="373"/>
      <c r="G45" s="373"/>
      <c r="H45" s="10">
        <v>0.08</v>
      </c>
      <c r="I45" s="5">
        <f t="shared" si="0"/>
        <v>86</v>
      </c>
      <c r="J45" s="48"/>
      <c r="K45" s="404"/>
    </row>
    <row r="46" spans="1:11" x14ac:dyDescent="0.2">
      <c r="A46" s="389" t="s">
        <v>48</v>
      </c>
      <c r="B46" s="389"/>
      <c r="C46" s="389"/>
      <c r="D46" s="389"/>
      <c r="E46" s="389"/>
      <c r="F46" s="389"/>
      <c r="G46" s="389"/>
      <c r="H46" s="12">
        <f>SUM(H38:H45)</f>
        <v>0.35810000000000003</v>
      </c>
      <c r="I46" s="13">
        <f>(SUM(I38:I45))</f>
        <v>384.95749999999998</v>
      </c>
      <c r="J46" s="48"/>
    </row>
    <row r="47" spans="1:11" x14ac:dyDescent="0.2">
      <c r="A47" s="402"/>
      <c r="B47" s="402"/>
      <c r="C47" s="402"/>
      <c r="D47" s="402"/>
      <c r="E47" s="402"/>
      <c r="F47" s="402"/>
      <c r="G47" s="402"/>
      <c r="H47" s="402"/>
      <c r="I47" s="402"/>
      <c r="J47" s="48"/>
    </row>
    <row r="48" spans="1:11" x14ac:dyDescent="0.2">
      <c r="A48" s="389" t="s">
        <v>49</v>
      </c>
      <c r="B48" s="389"/>
      <c r="C48" s="389"/>
      <c r="D48" s="389"/>
      <c r="E48" s="389"/>
      <c r="F48" s="389"/>
      <c r="G48" s="389"/>
      <c r="H48" s="12"/>
      <c r="I48" s="345" t="s">
        <v>22</v>
      </c>
      <c r="J48" s="48"/>
    </row>
    <row r="49" spans="1:10" x14ac:dyDescent="0.2">
      <c r="A49" s="345" t="s">
        <v>1</v>
      </c>
      <c r="B49" s="393" t="s">
        <v>125</v>
      </c>
      <c r="C49" s="393"/>
      <c r="D49" s="393"/>
      <c r="E49" s="393"/>
      <c r="F49" s="393"/>
      <c r="G49" s="393"/>
      <c r="H49" s="55">
        <v>0</v>
      </c>
      <c r="I49" s="14">
        <v>0</v>
      </c>
      <c r="J49" s="48"/>
    </row>
    <row r="50" spans="1:10" x14ac:dyDescent="0.2">
      <c r="A50" s="345" t="s">
        <v>3</v>
      </c>
      <c r="B50" s="393" t="s">
        <v>124</v>
      </c>
      <c r="C50" s="393"/>
      <c r="D50" s="393"/>
      <c r="E50" s="393"/>
      <c r="F50" s="393"/>
      <c r="G50" s="393"/>
      <c r="H50" s="55">
        <v>418</v>
      </c>
      <c r="I50" s="15">
        <f>H50*0.8</f>
        <v>334.40000000000003</v>
      </c>
      <c r="J50" s="49"/>
    </row>
    <row r="51" spans="1:10" x14ac:dyDescent="0.2">
      <c r="A51" s="345" t="s">
        <v>5</v>
      </c>
      <c r="B51" s="393" t="s">
        <v>126</v>
      </c>
      <c r="C51" s="393"/>
      <c r="D51" s="393"/>
      <c r="E51" s="393"/>
      <c r="F51" s="393"/>
      <c r="G51" s="393"/>
      <c r="H51" s="55">
        <v>0</v>
      </c>
      <c r="I51" s="14">
        <f>H51</f>
        <v>0</v>
      </c>
      <c r="J51" s="48"/>
    </row>
    <row r="52" spans="1:10" x14ac:dyDescent="0.2">
      <c r="A52" s="345" t="s">
        <v>7</v>
      </c>
      <c r="B52" s="397" t="s">
        <v>127</v>
      </c>
      <c r="C52" s="398"/>
      <c r="D52" s="398"/>
      <c r="E52" s="398"/>
      <c r="F52" s="398"/>
      <c r="G52" s="399"/>
      <c r="H52" s="55">
        <v>0</v>
      </c>
      <c r="I52" s="14">
        <f>H52</f>
        <v>0</v>
      </c>
      <c r="J52" s="48"/>
    </row>
    <row r="53" spans="1:10" x14ac:dyDescent="0.2">
      <c r="A53" s="345" t="s">
        <v>27</v>
      </c>
      <c r="B53" s="373" t="s">
        <v>131</v>
      </c>
      <c r="C53" s="373"/>
      <c r="D53" s="373"/>
      <c r="E53" s="373"/>
      <c r="F53" s="373"/>
      <c r="G53" s="373"/>
      <c r="H53" s="55">
        <v>8</v>
      </c>
      <c r="I53" s="14">
        <f>H53</f>
        <v>8</v>
      </c>
      <c r="J53" s="48"/>
    </row>
    <row r="54" spans="1:10" x14ac:dyDescent="0.2">
      <c r="A54" s="389" t="s">
        <v>51</v>
      </c>
      <c r="B54" s="389"/>
      <c r="C54" s="389"/>
      <c r="D54" s="389"/>
      <c r="E54" s="389"/>
      <c r="F54" s="389"/>
      <c r="G54" s="389"/>
      <c r="H54" s="389"/>
      <c r="I54" s="13">
        <f>(SUM(I49:I53))</f>
        <v>342.40000000000003</v>
      </c>
      <c r="J54" s="48"/>
    </row>
    <row r="55" spans="1:10" x14ac:dyDescent="0.2">
      <c r="A55" s="402"/>
      <c r="B55" s="402"/>
      <c r="C55" s="402"/>
      <c r="D55" s="402"/>
      <c r="E55" s="402"/>
      <c r="F55" s="402"/>
      <c r="G55" s="402"/>
      <c r="H55" s="402"/>
      <c r="I55" s="402"/>
      <c r="J55" s="48"/>
    </row>
    <row r="56" spans="1:10" x14ac:dyDescent="0.2">
      <c r="A56" s="391" t="s">
        <v>52</v>
      </c>
      <c r="B56" s="391"/>
      <c r="C56" s="391"/>
      <c r="D56" s="391"/>
      <c r="E56" s="391"/>
      <c r="F56" s="391"/>
      <c r="G56" s="391"/>
      <c r="H56" s="391"/>
      <c r="I56" s="391"/>
      <c r="J56" s="48"/>
    </row>
    <row r="57" spans="1:10" x14ac:dyDescent="0.2">
      <c r="A57" s="389" t="s">
        <v>53</v>
      </c>
      <c r="B57" s="389"/>
      <c r="C57" s="389"/>
      <c r="D57" s="389"/>
      <c r="E57" s="389"/>
      <c r="F57" s="389"/>
      <c r="G57" s="389"/>
      <c r="H57" s="389"/>
      <c r="I57" s="345" t="s">
        <v>22</v>
      </c>
      <c r="J57" s="48"/>
    </row>
    <row r="58" spans="1:10" x14ac:dyDescent="0.2">
      <c r="A58" s="345" t="s">
        <v>54</v>
      </c>
      <c r="B58" s="370" t="s">
        <v>55</v>
      </c>
      <c r="C58" s="370"/>
      <c r="D58" s="370"/>
      <c r="E58" s="370"/>
      <c r="F58" s="370"/>
      <c r="G58" s="370"/>
      <c r="H58" s="370"/>
      <c r="I58" s="16">
        <f>I35</f>
        <v>162.20127825</v>
      </c>
      <c r="J58" s="48"/>
    </row>
    <row r="59" spans="1:10" x14ac:dyDescent="0.2">
      <c r="A59" s="345" t="s">
        <v>56</v>
      </c>
      <c r="B59" s="370" t="s">
        <v>57</v>
      </c>
      <c r="C59" s="370"/>
      <c r="D59" s="370"/>
      <c r="E59" s="370"/>
      <c r="F59" s="370"/>
      <c r="G59" s="370"/>
      <c r="H59" s="370"/>
      <c r="I59" s="16">
        <f>I46</f>
        <v>384.95749999999998</v>
      </c>
      <c r="J59" s="48"/>
    </row>
    <row r="60" spans="1:10" x14ac:dyDescent="0.2">
      <c r="A60" s="345" t="s">
        <v>58</v>
      </c>
      <c r="B60" s="370" t="s">
        <v>59</v>
      </c>
      <c r="C60" s="370"/>
      <c r="D60" s="370"/>
      <c r="E60" s="370"/>
      <c r="F60" s="370"/>
      <c r="G60" s="370"/>
      <c r="H60" s="370"/>
      <c r="I60" s="16">
        <f>I54</f>
        <v>342.40000000000003</v>
      </c>
      <c r="J60" s="48"/>
    </row>
    <row r="61" spans="1:10" x14ac:dyDescent="0.2">
      <c r="A61" s="389" t="s">
        <v>60</v>
      </c>
      <c r="B61" s="389"/>
      <c r="C61" s="389"/>
      <c r="D61" s="389"/>
      <c r="E61" s="389"/>
      <c r="F61" s="389"/>
      <c r="G61" s="389"/>
      <c r="H61" s="389"/>
      <c r="I61" s="13">
        <f>(SUM(I58:I60))</f>
        <v>889.55877824999993</v>
      </c>
      <c r="J61" s="48"/>
    </row>
    <row r="62" spans="1:10" x14ac:dyDescent="0.2">
      <c r="A62" s="394"/>
      <c r="B62" s="394"/>
      <c r="C62" s="394"/>
      <c r="D62" s="394"/>
      <c r="E62" s="394"/>
      <c r="F62" s="394"/>
      <c r="G62" s="394"/>
      <c r="H62" s="394"/>
      <c r="I62" s="394"/>
      <c r="J62" s="48"/>
    </row>
    <row r="63" spans="1:10" x14ac:dyDescent="0.2">
      <c r="A63" s="395" t="s">
        <v>61</v>
      </c>
      <c r="B63" s="395"/>
      <c r="C63" s="395"/>
      <c r="D63" s="395"/>
      <c r="E63" s="395"/>
      <c r="F63" s="395"/>
      <c r="G63" s="395"/>
      <c r="H63" s="395"/>
      <c r="I63" s="395"/>
      <c r="J63" s="48"/>
    </row>
    <row r="64" spans="1:10" x14ac:dyDescent="0.2">
      <c r="A64" s="345">
        <v>3</v>
      </c>
      <c r="B64" s="389" t="s">
        <v>62</v>
      </c>
      <c r="C64" s="389"/>
      <c r="D64" s="389"/>
      <c r="E64" s="389"/>
      <c r="F64" s="389"/>
      <c r="G64" s="389"/>
      <c r="H64" s="345" t="s">
        <v>21</v>
      </c>
      <c r="I64" s="345" t="s">
        <v>22</v>
      </c>
      <c r="J64" s="48"/>
    </row>
    <row r="65" spans="1:11" x14ac:dyDescent="0.2">
      <c r="A65" s="345" t="s">
        <v>1</v>
      </c>
      <c r="B65" s="373" t="s">
        <v>63</v>
      </c>
      <c r="C65" s="373"/>
      <c r="D65" s="373"/>
      <c r="E65" s="373"/>
      <c r="F65" s="373"/>
      <c r="G65" s="373"/>
      <c r="H65" s="17">
        <v>4.1999999999999997E-3</v>
      </c>
      <c r="I65" s="16">
        <f>$I$28*H65</f>
        <v>4.5149999999999997</v>
      </c>
      <c r="J65" s="48"/>
    </row>
    <row r="66" spans="1:11" x14ac:dyDescent="0.2">
      <c r="A66" s="345" t="s">
        <v>3</v>
      </c>
      <c r="B66" s="373" t="s">
        <v>64</v>
      </c>
      <c r="C66" s="373"/>
      <c r="D66" s="373"/>
      <c r="E66" s="373"/>
      <c r="F66" s="373"/>
      <c r="G66" s="373"/>
      <c r="H66" s="17">
        <f>H45*H65</f>
        <v>3.3599999999999998E-4</v>
      </c>
      <c r="I66" s="5">
        <f>H66*I28</f>
        <v>0.36119999999999997</v>
      </c>
      <c r="J66" s="48"/>
    </row>
    <row r="67" spans="1:11" x14ac:dyDescent="0.2">
      <c r="A67" s="345" t="s">
        <v>5</v>
      </c>
      <c r="B67" s="373" t="s">
        <v>65</v>
      </c>
      <c r="C67" s="373"/>
      <c r="D67" s="373"/>
      <c r="E67" s="373"/>
      <c r="F67" s="373"/>
      <c r="G67" s="373"/>
      <c r="H67" s="18">
        <v>0.01</v>
      </c>
      <c r="I67" s="5">
        <f>$I$28*H67</f>
        <v>10.75</v>
      </c>
      <c r="J67" s="48"/>
    </row>
    <row r="68" spans="1:11" x14ac:dyDescent="0.2">
      <c r="A68" s="345" t="s">
        <v>7</v>
      </c>
      <c r="B68" s="373" t="s">
        <v>66</v>
      </c>
      <c r="C68" s="373"/>
      <c r="D68" s="373"/>
      <c r="E68" s="373"/>
      <c r="F68" s="373"/>
      <c r="G68" s="373"/>
      <c r="H68" s="46">
        <v>1.9400000000000001E-2</v>
      </c>
      <c r="I68" s="5">
        <f>$I$28*H68</f>
        <v>20.855</v>
      </c>
      <c r="J68" s="48"/>
    </row>
    <row r="69" spans="1:11" x14ac:dyDescent="0.2">
      <c r="A69" s="345" t="s">
        <v>27</v>
      </c>
      <c r="B69" s="373" t="s">
        <v>67</v>
      </c>
      <c r="C69" s="373"/>
      <c r="D69" s="373"/>
      <c r="E69" s="373"/>
      <c r="F69" s="373"/>
      <c r="G69" s="373"/>
      <c r="H69" s="19">
        <f>H46*H68</f>
        <v>6.947140000000001E-3</v>
      </c>
      <c r="I69" s="5">
        <f>$I$28*H69</f>
        <v>7.468175500000001</v>
      </c>
      <c r="J69" s="48"/>
    </row>
    <row r="70" spans="1:11" x14ac:dyDescent="0.2">
      <c r="A70" s="345" t="s">
        <v>29</v>
      </c>
      <c r="B70" s="373" t="s">
        <v>68</v>
      </c>
      <c r="C70" s="373"/>
      <c r="D70" s="373"/>
      <c r="E70" s="373"/>
      <c r="F70" s="373"/>
      <c r="G70" s="373"/>
      <c r="H70" s="54">
        <v>2.1999999999999999E-2</v>
      </c>
      <c r="I70" s="5">
        <f>$I$28*H70</f>
        <v>23.65</v>
      </c>
      <c r="J70" s="48"/>
      <c r="K70" s="20"/>
    </row>
    <row r="71" spans="1:11" x14ac:dyDescent="0.2">
      <c r="A71" s="389" t="s">
        <v>69</v>
      </c>
      <c r="B71" s="389"/>
      <c r="C71" s="389"/>
      <c r="D71" s="389"/>
      <c r="E71" s="389"/>
      <c r="F71" s="389"/>
      <c r="G71" s="389"/>
      <c r="H71" s="12">
        <f>TRUNC(SUM(H65:H70),4)</f>
        <v>6.2799999999999995E-2</v>
      </c>
      <c r="I71" s="13">
        <f>(SUM(I65:I70))</f>
        <v>67.599375500000008</v>
      </c>
      <c r="J71" s="48"/>
    </row>
    <row r="72" spans="1:11" x14ac:dyDescent="0.2">
      <c r="A72" s="401"/>
      <c r="B72" s="401"/>
      <c r="C72" s="401"/>
      <c r="D72" s="401"/>
      <c r="E72" s="401"/>
      <c r="F72" s="401"/>
      <c r="G72" s="401"/>
      <c r="H72" s="401"/>
      <c r="I72" s="401"/>
      <c r="J72" s="48"/>
    </row>
    <row r="73" spans="1:11" x14ac:dyDescent="0.2">
      <c r="A73" s="395" t="s">
        <v>70</v>
      </c>
      <c r="B73" s="395"/>
      <c r="C73" s="395"/>
      <c r="D73" s="395"/>
      <c r="E73" s="395"/>
      <c r="F73" s="395"/>
      <c r="G73" s="395"/>
      <c r="H73" s="395"/>
      <c r="I73" s="395"/>
      <c r="J73" s="48"/>
    </row>
    <row r="74" spans="1:11" x14ac:dyDescent="0.2">
      <c r="A74" s="389" t="s">
        <v>71</v>
      </c>
      <c r="B74" s="389"/>
      <c r="C74" s="389"/>
      <c r="D74" s="389"/>
      <c r="E74" s="389"/>
      <c r="F74" s="389"/>
      <c r="G74" s="389"/>
      <c r="H74" s="345" t="s">
        <v>21</v>
      </c>
      <c r="I74" s="345" t="s">
        <v>22</v>
      </c>
      <c r="J74" s="48"/>
    </row>
    <row r="75" spans="1:11" x14ac:dyDescent="0.2">
      <c r="A75" s="345" t="s">
        <v>1</v>
      </c>
      <c r="B75" s="373" t="s">
        <v>186</v>
      </c>
      <c r="C75" s="373"/>
      <c r="D75" s="373"/>
      <c r="E75" s="373"/>
      <c r="F75" s="373"/>
      <c r="G75" s="373"/>
      <c r="H75" s="148">
        <v>8.3299999999999999E-2</v>
      </c>
      <c r="I75" s="5">
        <f t="shared" ref="I75:I80" si="1">$I$28*H75</f>
        <v>89.547499999999999</v>
      </c>
      <c r="J75" s="48"/>
    </row>
    <row r="76" spans="1:11" x14ac:dyDescent="0.2">
      <c r="A76" s="345" t="s">
        <v>3</v>
      </c>
      <c r="B76" s="373" t="s">
        <v>187</v>
      </c>
      <c r="C76" s="373"/>
      <c r="D76" s="373"/>
      <c r="E76" s="373"/>
      <c r="F76" s="373"/>
      <c r="G76" s="373"/>
      <c r="H76" s="148">
        <v>2.8E-3</v>
      </c>
      <c r="I76" s="16">
        <f t="shared" si="1"/>
        <v>3.01</v>
      </c>
      <c r="J76" s="48"/>
    </row>
    <row r="77" spans="1:11" x14ac:dyDescent="0.2">
      <c r="A77" s="345" t="s">
        <v>5</v>
      </c>
      <c r="B77" s="373" t="s">
        <v>188</v>
      </c>
      <c r="C77" s="373"/>
      <c r="D77" s="373"/>
      <c r="E77" s="373"/>
      <c r="F77" s="373"/>
      <c r="G77" s="373"/>
      <c r="H77" s="17">
        <v>2.0000000000000001E-4</v>
      </c>
      <c r="I77" s="16">
        <f t="shared" si="1"/>
        <v>0.215</v>
      </c>
      <c r="J77" s="48"/>
    </row>
    <row r="78" spans="1:11" x14ac:dyDescent="0.2">
      <c r="A78" s="345" t="s">
        <v>7</v>
      </c>
      <c r="B78" s="373" t="s">
        <v>189</v>
      </c>
      <c r="C78" s="373"/>
      <c r="D78" s="373"/>
      <c r="E78" s="373"/>
      <c r="F78" s="373"/>
      <c r="G78" s="373"/>
      <c r="H78" s="148">
        <v>2.9999999999999997E-4</v>
      </c>
      <c r="I78" s="16">
        <f t="shared" si="1"/>
        <v>0.32249999999999995</v>
      </c>
      <c r="J78" s="48"/>
    </row>
    <row r="79" spans="1:11" x14ac:dyDescent="0.2">
      <c r="A79" s="345" t="s">
        <v>27</v>
      </c>
      <c r="B79" s="373" t="s">
        <v>190</v>
      </c>
      <c r="C79" s="373"/>
      <c r="D79" s="373"/>
      <c r="E79" s="373"/>
      <c r="F79" s="373"/>
      <c r="G79" s="373"/>
      <c r="H79" s="17">
        <v>6.9999999999999999E-4</v>
      </c>
      <c r="I79" s="16">
        <f t="shared" si="1"/>
        <v>0.75249999999999995</v>
      </c>
      <c r="J79" s="48"/>
    </row>
    <row r="80" spans="1:11" x14ac:dyDescent="0.2">
      <c r="A80" s="345" t="s">
        <v>29</v>
      </c>
      <c r="B80" s="397" t="s">
        <v>191</v>
      </c>
      <c r="C80" s="398"/>
      <c r="D80" s="398"/>
      <c r="E80" s="398"/>
      <c r="F80" s="398"/>
      <c r="G80" s="399"/>
      <c r="H80" s="17">
        <v>0</v>
      </c>
      <c r="I80" s="16">
        <f t="shared" si="1"/>
        <v>0</v>
      </c>
      <c r="J80" s="48"/>
    </row>
    <row r="81" spans="1:10" x14ac:dyDescent="0.2">
      <c r="A81" s="389" t="s">
        <v>72</v>
      </c>
      <c r="B81" s="389"/>
      <c r="C81" s="389"/>
      <c r="D81" s="389"/>
      <c r="E81" s="389"/>
      <c r="F81" s="389"/>
      <c r="G81" s="389"/>
      <c r="H81" s="12">
        <f>TRUNC(SUM(H75:H80),4)</f>
        <v>8.7300000000000003E-2</v>
      </c>
      <c r="I81" s="13">
        <f>(SUM(I75:I80))</f>
        <v>93.847500000000011</v>
      </c>
      <c r="J81" s="48"/>
    </row>
    <row r="82" spans="1:10" x14ac:dyDescent="0.2">
      <c r="A82" s="400"/>
      <c r="B82" s="400"/>
      <c r="C82" s="400"/>
      <c r="D82" s="400"/>
      <c r="E82" s="400"/>
      <c r="F82" s="400"/>
      <c r="G82" s="400"/>
      <c r="H82" s="400"/>
      <c r="I82" s="400"/>
      <c r="J82" s="48"/>
    </row>
    <row r="83" spans="1:10" x14ac:dyDescent="0.2">
      <c r="A83" s="389" t="s">
        <v>73</v>
      </c>
      <c r="B83" s="389"/>
      <c r="C83" s="389"/>
      <c r="D83" s="389"/>
      <c r="E83" s="389"/>
      <c r="F83" s="389"/>
      <c r="G83" s="389"/>
      <c r="H83" s="345" t="s">
        <v>21</v>
      </c>
      <c r="I83" s="345" t="s">
        <v>22</v>
      </c>
      <c r="J83" s="48"/>
    </row>
    <row r="84" spans="1:10" x14ac:dyDescent="0.2">
      <c r="A84" s="345" t="s">
        <v>1</v>
      </c>
      <c r="B84" s="373" t="s">
        <v>192</v>
      </c>
      <c r="C84" s="373"/>
      <c r="D84" s="373"/>
      <c r="E84" s="373"/>
      <c r="F84" s="373"/>
      <c r="G84" s="373"/>
      <c r="H84" s="17">
        <v>0</v>
      </c>
      <c r="I84" s="5">
        <f>$I$28*H84</f>
        <v>0</v>
      </c>
      <c r="J84" s="48"/>
    </row>
    <row r="85" spans="1:10" x14ac:dyDescent="0.2">
      <c r="A85" s="389" t="s">
        <v>74</v>
      </c>
      <c r="B85" s="389"/>
      <c r="C85" s="389"/>
      <c r="D85" s="389"/>
      <c r="E85" s="389"/>
      <c r="F85" s="389"/>
      <c r="G85" s="389"/>
      <c r="H85" s="12">
        <f>TRUNC(SUM(H84),4)</f>
        <v>0</v>
      </c>
      <c r="I85" s="13">
        <f>(SUM(I84))</f>
        <v>0</v>
      </c>
      <c r="J85" s="48"/>
    </row>
    <row r="86" spans="1:10" x14ac:dyDescent="0.2">
      <c r="A86" s="396"/>
      <c r="B86" s="396"/>
      <c r="C86" s="396"/>
      <c r="D86" s="396"/>
      <c r="E86" s="396"/>
      <c r="F86" s="396"/>
      <c r="G86" s="396"/>
      <c r="H86" s="396"/>
      <c r="I86" s="396"/>
      <c r="J86" s="48"/>
    </row>
    <row r="87" spans="1:10" x14ac:dyDescent="0.2">
      <c r="A87" s="391" t="s">
        <v>75</v>
      </c>
      <c r="B87" s="391"/>
      <c r="C87" s="391"/>
      <c r="D87" s="391"/>
      <c r="E87" s="391"/>
      <c r="F87" s="391"/>
      <c r="G87" s="391"/>
      <c r="H87" s="391"/>
      <c r="I87" s="391"/>
      <c r="J87" s="48"/>
    </row>
    <row r="88" spans="1:10" x14ac:dyDescent="0.2">
      <c r="A88" s="389" t="s">
        <v>76</v>
      </c>
      <c r="B88" s="389"/>
      <c r="C88" s="389"/>
      <c r="D88" s="389"/>
      <c r="E88" s="389"/>
      <c r="F88" s="389"/>
      <c r="G88" s="389"/>
      <c r="H88" s="389"/>
      <c r="I88" s="345" t="s">
        <v>22</v>
      </c>
      <c r="J88" s="48"/>
    </row>
    <row r="89" spans="1:10" x14ac:dyDescent="0.2">
      <c r="A89" s="345" t="s">
        <v>77</v>
      </c>
      <c r="B89" s="370" t="s">
        <v>193</v>
      </c>
      <c r="C89" s="370"/>
      <c r="D89" s="370"/>
      <c r="E89" s="370"/>
      <c r="F89" s="370"/>
      <c r="G89" s="370"/>
      <c r="H89" s="370"/>
      <c r="I89" s="16">
        <f>I81</f>
        <v>93.847500000000011</v>
      </c>
      <c r="J89" s="48"/>
    </row>
    <row r="90" spans="1:10" x14ac:dyDescent="0.2">
      <c r="A90" s="345" t="s">
        <v>78</v>
      </c>
      <c r="B90" s="370" t="s">
        <v>194</v>
      </c>
      <c r="C90" s="370"/>
      <c r="D90" s="370"/>
      <c r="E90" s="370"/>
      <c r="F90" s="370"/>
      <c r="G90" s="370"/>
      <c r="H90" s="370"/>
      <c r="I90" s="16">
        <f>I85</f>
        <v>0</v>
      </c>
      <c r="J90" s="48"/>
    </row>
    <row r="91" spans="1:10" x14ac:dyDescent="0.2">
      <c r="A91" s="345" t="s">
        <v>46</v>
      </c>
      <c r="B91" s="370" t="s">
        <v>195</v>
      </c>
      <c r="C91" s="370"/>
      <c r="D91" s="370"/>
      <c r="E91" s="370"/>
      <c r="F91" s="370"/>
      <c r="G91" s="370"/>
      <c r="H91" s="370"/>
      <c r="I91" s="16">
        <f>(H81*H46)*I89</f>
        <v>2.9338727451750009</v>
      </c>
      <c r="J91" s="48"/>
    </row>
    <row r="92" spans="1:10" x14ac:dyDescent="0.2">
      <c r="A92" s="389" t="s">
        <v>79</v>
      </c>
      <c r="B92" s="389"/>
      <c r="C92" s="389"/>
      <c r="D92" s="389"/>
      <c r="E92" s="389"/>
      <c r="F92" s="389"/>
      <c r="G92" s="389"/>
      <c r="H92" s="389"/>
      <c r="I92" s="13">
        <f>(SUM(I89:I90))</f>
        <v>93.847500000000011</v>
      </c>
      <c r="J92" s="48"/>
    </row>
    <row r="93" spans="1:10" x14ac:dyDescent="0.2">
      <c r="A93" s="394"/>
      <c r="B93" s="394"/>
      <c r="C93" s="394"/>
      <c r="D93" s="394"/>
      <c r="E93" s="394"/>
      <c r="F93" s="394"/>
      <c r="G93" s="394"/>
      <c r="H93" s="394"/>
      <c r="I93" s="394"/>
      <c r="J93" s="48"/>
    </row>
    <row r="94" spans="1:10" x14ac:dyDescent="0.2">
      <c r="A94" s="395" t="s">
        <v>80</v>
      </c>
      <c r="B94" s="395"/>
      <c r="C94" s="395"/>
      <c r="D94" s="395"/>
      <c r="E94" s="395"/>
      <c r="F94" s="395"/>
      <c r="G94" s="395"/>
      <c r="H94" s="395"/>
      <c r="I94" s="395"/>
      <c r="J94" s="48"/>
    </row>
    <row r="95" spans="1:10" x14ac:dyDescent="0.2">
      <c r="A95" s="345">
        <v>5</v>
      </c>
      <c r="B95" s="389" t="s">
        <v>81</v>
      </c>
      <c r="C95" s="389"/>
      <c r="D95" s="389"/>
      <c r="E95" s="389"/>
      <c r="F95" s="389"/>
      <c r="G95" s="389"/>
      <c r="H95" s="345"/>
      <c r="I95" s="345" t="s">
        <v>22</v>
      </c>
      <c r="J95" s="48"/>
    </row>
    <row r="96" spans="1:10" x14ac:dyDescent="0.2">
      <c r="A96" s="345" t="s">
        <v>1</v>
      </c>
      <c r="B96" s="393" t="s">
        <v>82</v>
      </c>
      <c r="C96" s="393"/>
      <c r="D96" s="393"/>
      <c r="E96" s="393"/>
      <c r="F96" s="393"/>
      <c r="G96" s="393"/>
      <c r="H96" s="340" t="s">
        <v>50</v>
      </c>
      <c r="I96" s="66">
        <f>UNIFORME!F10</f>
        <v>28.666666666666668</v>
      </c>
      <c r="J96" s="48"/>
    </row>
    <row r="97" spans="1:13" x14ac:dyDescent="0.2">
      <c r="A97" s="345" t="s">
        <v>3</v>
      </c>
      <c r="B97" s="393" t="s">
        <v>83</v>
      </c>
      <c r="C97" s="393"/>
      <c r="D97" s="393"/>
      <c r="E97" s="393"/>
      <c r="F97" s="393"/>
      <c r="G97" s="393"/>
      <c r="H97" s="340" t="s">
        <v>50</v>
      </c>
      <c r="I97" s="16">
        <f>MATERIAL!H104</f>
        <v>1296.4523297491039</v>
      </c>
      <c r="J97" s="48"/>
    </row>
    <row r="98" spans="1:13" x14ac:dyDescent="0.2">
      <c r="A98" s="21" t="s">
        <v>5</v>
      </c>
      <c r="B98" s="393" t="s">
        <v>84</v>
      </c>
      <c r="C98" s="393"/>
      <c r="D98" s="393"/>
      <c r="E98" s="393"/>
      <c r="F98" s="393"/>
      <c r="G98" s="393"/>
      <c r="H98" s="340" t="s">
        <v>50</v>
      </c>
      <c r="I98" s="16">
        <f>MATERIAL!I123</f>
        <v>30.513888888888889</v>
      </c>
      <c r="J98" s="48"/>
    </row>
    <row r="99" spans="1:13" x14ac:dyDescent="0.2">
      <c r="A99" s="21" t="s">
        <v>7</v>
      </c>
      <c r="B99" s="393" t="s">
        <v>435</v>
      </c>
      <c r="C99" s="393"/>
      <c r="D99" s="393"/>
      <c r="E99" s="393"/>
      <c r="F99" s="393"/>
      <c r="G99" s="393"/>
      <c r="H99" s="340" t="s">
        <v>50</v>
      </c>
      <c r="I99" s="16">
        <f>MATERIAL!H59</f>
        <v>20.76595744680851</v>
      </c>
      <c r="J99" s="48"/>
    </row>
    <row r="100" spans="1:13" x14ac:dyDescent="0.2">
      <c r="A100" s="389" t="s">
        <v>85</v>
      </c>
      <c r="B100" s="389"/>
      <c r="C100" s="389"/>
      <c r="D100" s="389"/>
      <c r="E100" s="389"/>
      <c r="F100" s="389"/>
      <c r="G100" s="389"/>
      <c r="H100" s="12" t="s">
        <v>50</v>
      </c>
      <c r="I100" s="13">
        <f>(SUM(I96:I99))</f>
        <v>1376.398842751468</v>
      </c>
      <c r="J100" s="48"/>
    </row>
    <row r="101" spans="1:13" x14ac:dyDescent="0.2">
      <c r="A101" s="394"/>
      <c r="B101" s="394"/>
      <c r="C101" s="394"/>
      <c r="D101" s="394"/>
      <c r="E101" s="394"/>
      <c r="F101" s="394"/>
      <c r="G101" s="394"/>
      <c r="H101" s="394"/>
      <c r="I101" s="394"/>
      <c r="J101" s="48"/>
    </row>
    <row r="102" spans="1:13" x14ac:dyDescent="0.2">
      <c r="A102" s="395" t="s">
        <v>86</v>
      </c>
      <c r="B102" s="395"/>
      <c r="C102" s="395"/>
      <c r="D102" s="395"/>
      <c r="E102" s="395"/>
      <c r="F102" s="395"/>
      <c r="G102" s="395"/>
      <c r="H102" s="395"/>
      <c r="I102" s="395"/>
      <c r="J102" s="48"/>
    </row>
    <row r="103" spans="1:13" x14ac:dyDescent="0.2">
      <c r="A103" s="345">
        <v>6</v>
      </c>
      <c r="B103" s="389" t="s">
        <v>87</v>
      </c>
      <c r="C103" s="389"/>
      <c r="D103" s="389"/>
      <c r="E103" s="389"/>
      <c r="F103" s="389"/>
      <c r="G103" s="389"/>
      <c r="H103" s="345" t="s">
        <v>21</v>
      </c>
      <c r="I103" s="345" t="s">
        <v>22</v>
      </c>
      <c r="J103" s="48"/>
      <c r="K103" s="52">
        <f>'ANEXO VII'!M57</f>
        <v>197.15170301310718</v>
      </c>
    </row>
    <row r="104" spans="1:13" x14ac:dyDescent="0.2">
      <c r="A104" s="345" t="s">
        <v>1</v>
      </c>
      <c r="B104" s="373" t="s">
        <v>88</v>
      </c>
      <c r="C104" s="373"/>
      <c r="D104" s="373"/>
      <c r="E104" s="373"/>
      <c r="F104" s="373"/>
      <c r="G104" s="373"/>
      <c r="H104" s="22">
        <v>5.21E-2</v>
      </c>
      <c r="I104" s="16">
        <f>I120*H104</f>
        <v>182.47527426772649</v>
      </c>
      <c r="J104" s="48"/>
      <c r="M104" s="52"/>
    </row>
    <row r="105" spans="1:13" x14ac:dyDescent="0.2">
      <c r="A105" s="345" t="s">
        <v>3</v>
      </c>
      <c r="B105" s="373" t="s">
        <v>89</v>
      </c>
      <c r="C105" s="373"/>
      <c r="D105" s="373"/>
      <c r="E105" s="373"/>
      <c r="F105" s="373"/>
      <c r="G105" s="373"/>
      <c r="H105" s="22">
        <v>0.05</v>
      </c>
      <c r="I105" s="16">
        <f>(I120+I104)*H105</f>
        <v>184.24398853845975</v>
      </c>
      <c r="J105" s="48"/>
    </row>
    <row r="106" spans="1:13" x14ac:dyDescent="0.2">
      <c r="A106" s="345" t="s">
        <v>5</v>
      </c>
      <c r="B106" s="392" t="s">
        <v>90</v>
      </c>
      <c r="C106" s="392"/>
      <c r="D106" s="392"/>
      <c r="E106" s="392"/>
      <c r="F106" s="392"/>
      <c r="G106" s="392"/>
      <c r="H106" s="23">
        <f>H107+H108+H109</f>
        <v>8.6499999999999994E-2</v>
      </c>
      <c r="I106" s="24"/>
      <c r="J106" s="48"/>
    </row>
    <row r="107" spans="1:13" x14ac:dyDescent="0.2">
      <c r="A107" s="345" t="s">
        <v>91</v>
      </c>
      <c r="B107" s="373" t="s">
        <v>92</v>
      </c>
      <c r="C107" s="373"/>
      <c r="D107" s="373"/>
      <c r="E107" s="373"/>
      <c r="F107" s="373"/>
      <c r="G107" s="373"/>
      <c r="H107" s="25">
        <v>6.4999999999999997E-3</v>
      </c>
      <c r="I107" s="16">
        <f>K110*H107</f>
        <v>27.530710931034214</v>
      </c>
      <c r="J107" s="48"/>
      <c r="K107" s="65">
        <f>1-H106</f>
        <v>0.91349999999999998</v>
      </c>
    </row>
    <row r="108" spans="1:13" x14ac:dyDescent="0.2">
      <c r="A108" s="345" t="s">
        <v>93</v>
      </c>
      <c r="B108" s="373" t="s">
        <v>94</v>
      </c>
      <c r="C108" s="373"/>
      <c r="D108" s="373"/>
      <c r="E108" s="373"/>
      <c r="F108" s="373"/>
      <c r="G108" s="373"/>
      <c r="H108" s="25">
        <v>0.03</v>
      </c>
      <c r="I108" s="16">
        <f>K110*H108</f>
        <v>127.06481968169636</v>
      </c>
      <c r="J108" s="48"/>
      <c r="K108" s="45">
        <f>K107/1</f>
        <v>0.91349999999999998</v>
      </c>
    </row>
    <row r="109" spans="1:13" x14ac:dyDescent="0.2">
      <c r="A109" s="345" t="s">
        <v>95</v>
      </c>
      <c r="B109" s="373" t="s">
        <v>96</v>
      </c>
      <c r="C109" s="373"/>
      <c r="D109" s="373"/>
      <c r="E109" s="373"/>
      <c r="F109" s="373"/>
      <c r="G109" s="373"/>
      <c r="H109" s="26">
        <v>0.05</v>
      </c>
      <c r="I109" s="16">
        <f>K110*H109</f>
        <v>211.77469946949395</v>
      </c>
      <c r="J109" s="48"/>
      <c r="K109" s="20">
        <f>I120+I104+I105</f>
        <v>3869.1237593076544</v>
      </c>
    </row>
    <row r="110" spans="1:13" x14ac:dyDescent="0.2">
      <c r="A110" s="389" t="s">
        <v>97</v>
      </c>
      <c r="B110" s="389"/>
      <c r="C110" s="389"/>
      <c r="D110" s="389"/>
      <c r="E110" s="389"/>
      <c r="F110" s="389"/>
      <c r="G110" s="389"/>
      <c r="H110" s="25">
        <f>SUM(H104+H105+H106)</f>
        <v>0.18859999999999999</v>
      </c>
      <c r="I110" s="13">
        <f>(SUM(I104:I109))</f>
        <v>733.08949288841075</v>
      </c>
      <c r="J110" s="48"/>
      <c r="K110" s="20">
        <f>K109/K108</f>
        <v>4235.4939893898791</v>
      </c>
    </row>
    <row r="111" spans="1:13" x14ac:dyDescent="0.2">
      <c r="A111" s="342"/>
      <c r="B111" s="390"/>
      <c r="C111" s="390"/>
      <c r="D111" s="390"/>
      <c r="E111" s="390"/>
      <c r="F111" s="390"/>
      <c r="G111" s="390"/>
      <c r="H111" s="390"/>
      <c r="I111" s="390"/>
    </row>
    <row r="112" spans="1:13" x14ac:dyDescent="0.2">
      <c r="A112" s="342"/>
      <c r="B112" s="342"/>
      <c r="C112" s="342"/>
      <c r="D112" s="342"/>
      <c r="E112" s="342"/>
      <c r="F112" s="342"/>
      <c r="G112" s="342"/>
      <c r="H112" s="342"/>
      <c r="I112" s="27"/>
    </row>
    <row r="113" spans="1:12" x14ac:dyDescent="0.2">
      <c r="A113" s="391" t="s">
        <v>98</v>
      </c>
      <c r="B113" s="391"/>
      <c r="C113" s="391"/>
      <c r="D113" s="391"/>
      <c r="E113" s="391"/>
      <c r="F113" s="391"/>
      <c r="G113" s="391"/>
      <c r="H113" s="391"/>
      <c r="I113" s="391"/>
    </row>
    <row r="114" spans="1:12" x14ac:dyDescent="0.2">
      <c r="A114" s="389" t="s">
        <v>99</v>
      </c>
      <c r="B114" s="389"/>
      <c r="C114" s="389"/>
      <c r="D114" s="389"/>
      <c r="E114" s="389"/>
      <c r="F114" s="389"/>
      <c r="G114" s="389"/>
      <c r="H114" s="389"/>
      <c r="I114" s="345" t="s">
        <v>22</v>
      </c>
    </row>
    <row r="115" spans="1:12" x14ac:dyDescent="0.2">
      <c r="A115" s="340" t="s">
        <v>1</v>
      </c>
      <c r="B115" s="373" t="str">
        <f>A19</f>
        <v>MÓDULO 1 - COMPOSIÇÃO DA REMUNERAÇÃO</v>
      </c>
      <c r="C115" s="373"/>
      <c r="D115" s="373"/>
      <c r="E115" s="373"/>
      <c r="F115" s="373"/>
      <c r="G115" s="373"/>
      <c r="H115" s="373"/>
      <c r="I115" s="16">
        <f>I28</f>
        <v>1075</v>
      </c>
      <c r="K115" s="20"/>
      <c r="L115" s="53"/>
    </row>
    <row r="116" spans="1:12" x14ac:dyDescent="0.2">
      <c r="A116" s="340" t="s">
        <v>3</v>
      </c>
      <c r="B116" s="373" t="str">
        <f>A30</f>
        <v>MÓDULO 2 – ENCARGOS E BENEFÍCIOS ANUAIS, MENSAIS E DIÁRIOS</v>
      </c>
      <c r="C116" s="373"/>
      <c r="D116" s="373"/>
      <c r="E116" s="373"/>
      <c r="F116" s="373"/>
      <c r="G116" s="373"/>
      <c r="H116" s="373"/>
      <c r="I116" s="16">
        <f>I61</f>
        <v>889.55877824999993</v>
      </c>
    </row>
    <row r="117" spans="1:12" x14ac:dyDescent="0.2">
      <c r="A117" s="340" t="s">
        <v>5</v>
      </c>
      <c r="B117" s="373" t="str">
        <f>A63</f>
        <v>MÓDULO 3 – PROVISÃO PARA RESCISÃO</v>
      </c>
      <c r="C117" s="373"/>
      <c r="D117" s="373"/>
      <c r="E117" s="373"/>
      <c r="F117" s="373"/>
      <c r="G117" s="373"/>
      <c r="H117" s="373"/>
      <c r="I117" s="16">
        <f>I71</f>
        <v>67.599375500000008</v>
      </c>
    </row>
    <row r="118" spans="1:12" x14ac:dyDescent="0.2">
      <c r="A118" s="340" t="s">
        <v>7</v>
      </c>
      <c r="B118" s="373" t="str">
        <f>A73</f>
        <v>MÓDULO 4 – CUSTO DE REPOSIÇÃO DO PROFISSIONAL AUSENTE</v>
      </c>
      <c r="C118" s="373"/>
      <c r="D118" s="373"/>
      <c r="E118" s="373"/>
      <c r="F118" s="373"/>
      <c r="G118" s="373"/>
      <c r="H118" s="373"/>
      <c r="I118" s="16">
        <f>I92</f>
        <v>93.847500000000011</v>
      </c>
    </row>
    <row r="119" spans="1:12" x14ac:dyDescent="0.2">
      <c r="A119" s="340" t="s">
        <v>27</v>
      </c>
      <c r="B119" s="373" t="str">
        <f>A94</f>
        <v>MÓDULO 5 – INSUMOS DIVERSOS</v>
      </c>
      <c r="C119" s="373"/>
      <c r="D119" s="373"/>
      <c r="E119" s="373"/>
      <c r="F119" s="373"/>
      <c r="G119" s="373"/>
      <c r="H119" s="373"/>
      <c r="I119" s="16">
        <f>I100</f>
        <v>1376.398842751468</v>
      </c>
    </row>
    <row r="120" spans="1:12" x14ac:dyDescent="0.2">
      <c r="A120" s="345"/>
      <c r="B120" s="389" t="s">
        <v>100</v>
      </c>
      <c r="C120" s="389"/>
      <c r="D120" s="389"/>
      <c r="E120" s="389"/>
      <c r="F120" s="389"/>
      <c r="G120" s="389"/>
      <c r="H120" s="389"/>
      <c r="I120" s="13">
        <f>(SUM(I115:I119))</f>
        <v>3502.4044965014682</v>
      </c>
    </row>
    <row r="121" spans="1:12" x14ac:dyDescent="0.2">
      <c r="A121" s="340" t="s">
        <v>29</v>
      </c>
      <c r="B121" s="373" t="str">
        <f>A102</f>
        <v>MÓDULO 6 – CUSTOS INDIRETOS, TRIBUTOS E LUCRO</v>
      </c>
      <c r="C121" s="373"/>
      <c r="D121" s="373"/>
      <c r="E121" s="373"/>
      <c r="F121" s="373"/>
      <c r="G121" s="373"/>
      <c r="H121" s="373"/>
      <c r="I121" s="5">
        <f>I110</f>
        <v>733.08949288841075</v>
      </c>
    </row>
    <row r="122" spans="1:12" x14ac:dyDescent="0.2">
      <c r="A122" s="389" t="s">
        <v>101</v>
      </c>
      <c r="B122" s="389"/>
      <c r="C122" s="389"/>
      <c r="D122" s="389"/>
      <c r="E122" s="389"/>
      <c r="F122" s="389"/>
      <c r="G122" s="389"/>
      <c r="H122" s="389"/>
      <c r="I122" s="13">
        <f>(SUM(I120:I121))</f>
        <v>4235.4939893898791</v>
      </c>
      <c r="K122" s="350"/>
    </row>
    <row r="123" spans="1:12" x14ac:dyDescent="0.2">
      <c r="I123" s="20"/>
      <c r="K123" s="350"/>
    </row>
    <row r="124" spans="1:12" hidden="1" x14ac:dyDescent="0.2">
      <c r="A124" s="342"/>
      <c r="B124" s="379" t="s">
        <v>102</v>
      </c>
      <c r="C124" s="379"/>
      <c r="D124" s="379"/>
      <c r="E124" s="379"/>
      <c r="F124" s="379"/>
      <c r="G124" s="379"/>
      <c r="H124" s="8"/>
      <c r="I124" s="8"/>
      <c r="K124" s="350"/>
    </row>
    <row r="125" spans="1:12" ht="40.5" hidden="1" customHeight="1" x14ac:dyDescent="0.2">
      <c r="A125" s="385" t="s">
        <v>103</v>
      </c>
      <c r="B125" s="385"/>
      <c r="C125" s="385" t="s">
        <v>104</v>
      </c>
      <c r="D125" s="385"/>
      <c r="E125" s="385" t="s">
        <v>105</v>
      </c>
      <c r="F125" s="385"/>
      <c r="G125" s="28" t="s">
        <v>106</v>
      </c>
      <c r="H125" s="344" t="s">
        <v>107</v>
      </c>
      <c r="I125" s="343"/>
      <c r="K125" s="350"/>
    </row>
    <row r="126" spans="1:12" hidden="1" x14ac:dyDescent="0.2">
      <c r="A126" s="386" t="s">
        <v>108</v>
      </c>
      <c r="B126" s="386"/>
      <c r="C126" s="387" t="s">
        <v>109</v>
      </c>
      <c r="D126" s="387"/>
      <c r="E126" s="388"/>
      <c r="F126" s="388"/>
      <c r="G126" s="29" t="s">
        <v>109</v>
      </c>
      <c r="H126" s="30"/>
      <c r="I126" s="31"/>
      <c r="K126" s="350"/>
    </row>
    <row r="127" spans="1:12" hidden="1" x14ac:dyDescent="0.2">
      <c r="A127" s="381" t="s">
        <v>110</v>
      </c>
      <c r="B127" s="381"/>
      <c r="C127" s="382" t="s">
        <v>109</v>
      </c>
      <c r="D127" s="382"/>
      <c r="E127" s="383"/>
      <c r="F127" s="383"/>
      <c r="G127" s="32" t="s">
        <v>109</v>
      </c>
      <c r="H127" s="33"/>
      <c r="I127" s="34"/>
      <c r="K127" s="350"/>
    </row>
    <row r="128" spans="1:12" hidden="1" x14ac:dyDescent="0.2">
      <c r="A128" s="381" t="s">
        <v>111</v>
      </c>
      <c r="B128" s="381"/>
      <c r="C128" s="382" t="s">
        <v>109</v>
      </c>
      <c r="D128" s="382"/>
      <c r="E128" s="383"/>
      <c r="F128" s="383"/>
      <c r="G128" s="32" t="s">
        <v>109</v>
      </c>
      <c r="H128" s="33"/>
      <c r="I128" s="34"/>
      <c r="K128" s="350"/>
    </row>
    <row r="129" spans="1:11" hidden="1" x14ac:dyDescent="0.2">
      <c r="A129" s="381" t="s">
        <v>112</v>
      </c>
      <c r="B129" s="381"/>
      <c r="C129" s="382" t="s">
        <v>109</v>
      </c>
      <c r="D129" s="382"/>
      <c r="E129" s="383"/>
      <c r="F129" s="383"/>
      <c r="G129" s="32" t="s">
        <v>109</v>
      </c>
      <c r="H129" s="33"/>
      <c r="I129" s="34"/>
      <c r="K129" s="350"/>
    </row>
    <row r="130" spans="1:11" hidden="1" x14ac:dyDescent="0.2">
      <c r="A130" s="384"/>
      <c r="B130" s="384"/>
      <c r="C130" s="383"/>
      <c r="D130" s="383"/>
      <c r="E130" s="383"/>
      <c r="F130" s="383"/>
      <c r="G130" s="35"/>
      <c r="H130" s="36"/>
      <c r="I130" s="34"/>
      <c r="K130" s="350"/>
    </row>
    <row r="131" spans="1:11" ht="13.5" hidden="1" thickBot="1" x14ac:dyDescent="0.25">
      <c r="A131" s="376"/>
      <c r="B131" s="376"/>
      <c r="C131" s="377"/>
      <c r="D131" s="377"/>
      <c r="E131" s="377"/>
      <c r="F131" s="377"/>
      <c r="G131" s="37"/>
      <c r="H131" s="38"/>
      <c r="I131" s="39"/>
      <c r="K131" s="350"/>
    </row>
    <row r="132" spans="1:11" ht="13.5" hidden="1" thickBot="1" x14ac:dyDescent="0.25">
      <c r="A132" s="378" t="s">
        <v>113</v>
      </c>
      <c r="B132" s="378"/>
      <c r="C132" s="378"/>
      <c r="D132" s="378"/>
      <c r="E132" s="378"/>
      <c r="F132" s="378"/>
      <c r="G132" s="378"/>
      <c r="H132" s="378"/>
      <c r="I132" s="40"/>
      <c r="K132" s="350"/>
    </row>
    <row r="133" spans="1:11" x14ac:dyDescent="0.2">
      <c r="I133" s="20"/>
    </row>
    <row r="134" spans="1:11" hidden="1" x14ac:dyDescent="0.2">
      <c r="A134" s="342" t="s">
        <v>114</v>
      </c>
      <c r="B134" s="379" t="s">
        <v>115</v>
      </c>
      <c r="C134" s="379"/>
      <c r="D134" s="379"/>
      <c r="E134" s="379"/>
      <c r="F134" s="379"/>
      <c r="G134" s="379"/>
      <c r="H134" s="8"/>
      <c r="I134" s="8"/>
    </row>
    <row r="135" spans="1:11" ht="13.5" hidden="1" thickBot="1" x14ac:dyDescent="0.25">
      <c r="A135" s="380" t="s">
        <v>116</v>
      </c>
      <c r="B135" s="380"/>
      <c r="C135" s="380"/>
      <c r="D135" s="380"/>
      <c r="E135" s="380"/>
      <c r="F135" s="380"/>
      <c r="G135" s="380"/>
      <c r="H135" s="380"/>
      <c r="I135" s="380"/>
    </row>
    <row r="136" spans="1:11" ht="13.5" hidden="1" thickBot="1" x14ac:dyDescent="0.25">
      <c r="A136" s="341"/>
      <c r="B136" s="371" t="s">
        <v>117</v>
      </c>
      <c r="C136" s="371"/>
      <c r="D136" s="371"/>
      <c r="E136" s="371"/>
      <c r="F136" s="371"/>
      <c r="G136" s="371"/>
      <c r="H136" s="371"/>
      <c r="I136" s="343" t="s">
        <v>22</v>
      </c>
    </row>
    <row r="137" spans="1:11" hidden="1" x14ac:dyDescent="0.2">
      <c r="A137" s="41" t="s">
        <v>1</v>
      </c>
      <c r="B137" s="372" t="s">
        <v>118</v>
      </c>
      <c r="C137" s="372"/>
      <c r="D137" s="372"/>
      <c r="E137" s="372"/>
      <c r="F137" s="372"/>
      <c r="G137" s="372"/>
      <c r="H137" s="372"/>
      <c r="I137" s="42">
        <f>I107</f>
        <v>27.530710931034214</v>
      </c>
    </row>
    <row r="138" spans="1:11" hidden="1" x14ac:dyDescent="0.2">
      <c r="A138" s="43" t="s">
        <v>3</v>
      </c>
      <c r="B138" s="373" t="s">
        <v>119</v>
      </c>
      <c r="C138" s="373"/>
      <c r="D138" s="373"/>
      <c r="E138" s="373"/>
      <c r="F138" s="373"/>
      <c r="G138" s="373"/>
      <c r="H138" s="373"/>
      <c r="I138" s="44" t="e">
        <f>#REF!</f>
        <v>#REF!</v>
      </c>
    </row>
    <row r="139" spans="1:11" ht="13.5" hidden="1" thickBot="1" x14ac:dyDescent="0.25">
      <c r="A139" s="43" t="s">
        <v>5</v>
      </c>
      <c r="B139" s="374" t="s">
        <v>120</v>
      </c>
      <c r="C139" s="374"/>
      <c r="D139" s="374"/>
      <c r="E139" s="374"/>
      <c r="F139" s="374"/>
      <c r="G139" s="374"/>
      <c r="H139" s="374"/>
      <c r="I139" s="44">
        <f>I110</f>
        <v>733.08949288841075</v>
      </c>
    </row>
    <row r="140" spans="1:11" ht="13.5" hidden="1" thickBot="1" x14ac:dyDescent="0.25">
      <c r="A140" s="375" t="s">
        <v>121</v>
      </c>
      <c r="B140" s="375"/>
      <c r="C140" s="375"/>
      <c r="D140" s="375"/>
      <c r="E140" s="375"/>
      <c r="F140" s="375"/>
      <c r="G140" s="375"/>
      <c r="H140" s="375"/>
      <c r="I140" s="40" t="e">
        <f>SUM(I137:I139)</f>
        <v>#REF!</v>
      </c>
    </row>
    <row r="141" spans="1:11" hidden="1" x14ac:dyDescent="0.2">
      <c r="A141" s="342" t="s">
        <v>122</v>
      </c>
      <c r="B141" s="45" t="s">
        <v>123</v>
      </c>
    </row>
    <row r="143" spans="1:11" ht="15.75" thickBot="1" x14ac:dyDescent="0.25">
      <c r="A143" s="195" t="s">
        <v>242</v>
      </c>
      <c r="B143" s="195"/>
      <c r="C143" s="195"/>
      <c r="D143" s="195"/>
      <c r="E143" s="195"/>
      <c r="F143" s="195"/>
      <c r="G143" s="195"/>
      <c r="H143" s="195"/>
    </row>
    <row r="144" spans="1:11" ht="15" x14ac:dyDescent="0.2">
      <c r="A144" s="419" t="s">
        <v>243</v>
      </c>
      <c r="B144" s="420"/>
      <c r="C144" s="421"/>
      <c r="D144" s="196" t="s">
        <v>244</v>
      </c>
      <c r="E144" s="419" t="s">
        <v>245</v>
      </c>
      <c r="F144" s="421"/>
      <c r="G144" s="419" t="s">
        <v>246</v>
      </c>
      <c r="H144" s="421"/>
    </row>
    <row r="145" spans="1:8" ht="15.75" thickBot="1" x14ac:dyDescent="0.25">
      <c r="A145" s="197"/>
      <c r="B145" s="198"/>
      <c r="C145" s="199"/>
      <c r="D145" s="200" t="s">
        <v>247</v>
      </c>
      <c r="E145" s="422" t="s">
        <v>248</v>
      </c>
      <c r="F145" s="423"/>
      <c r="G145" s="422" t="s">
        <v>249</v>
      </c>
      <c r="H145" s="423"/>
    </row>
    <row r="146" spans="1:8" ht="15.75" thickBot="1" x14ac:dyDescent="0.25">
      <c r="A146" s="201" t="s">
        <v>134</v>
      </c>
      <c r="B146" s="202"/>
      <c r="C146" s="202"/>
      <c r="D146" s="203">
        <f>1/(30*250)</f>
        <v>1.3333333333333334E-4</v>
      </c>
      <c r="E146" s="424">
        <v>0</v>
      </c>
      <c r="F146" s="425"/>
      <c r="G146" s="426">
        <f>D146*E146</f>
        <v>0</v>
      </c>
      <c r="H146" s="427"/>
    </row>
    <row r="147" spans="1:8" ht="15.75" thickBot="1" x14ac:dyDescent="0.25">
      <c r="A147" s="204" t="s">
        <v>140</v>
      </c>
      <c r="B147" s="205"/>
      <c r="C147" s="205"/>
      <c r="D147" s="206">
        <f>1/250</f>
        <v>4.0000000000000001E-3</v>
      </c>
      <c r="E147" s="428">
        <f>I122</f>
        <v>4235.4939893898791</v>
      </c>
      <c r="F147" s="418"/>
      <c r="G147" s="426">
        <f>D147*E147</f>
        <v>16.941975957559517</v>
      </c>
      <c r="H147" s="427"/>
    </row>
    <row r="148" spans="1:8" ht="15.75" thickBot="1" x14ac:dyDescent="0.25">
      <c r="A148" s="417" t="s">
        <v>250</v>
      </c>
      <c r="B148" s="418"/>
      <c r="C148" s="418"/>
      <c r="D148" s="418"/>
      <c r="E148" s="418"/>
      <c r="F148" s="418"/>
      <c r="G148" s="204"/>
      <c r="H148" s="207">
        <f>SUM(G146:H147)</f>
        <v>16.941975957559517</v>
      </c>
    </row>
  </sheetData>
  <mergeCells count="181">
    <mergeCell ref="B4:H4"/>
    <mergeCell ref="L4:M4"/>
    <mergeCell ref="N4:Q4"/>
    <mergeCell ref="R4:S4"/>
    <mergeCell ref="B5:H5"/>
    <mergeCell ref="K5:S5"/>
    <mergeCell ref="A2:I2"/>
    <mergeCell ref="K2:S2"/>
    <mergeCell ref="B3:H3"/>
    <mergeCell ref="L3:M3"/>
    <mergeCell ref="N3:Q3"/>
    <mergeCell ref="R3:S3"/>
    <mergeCell ref="B6:H6"/>
    <mergeCell ref="K6:S6"/>
    <mergeCell ref="K7:S7"/>
    <mergeCell ref="A8:I8"/>
    <mergeCell ref="K8:S8"/>
    <mergeCell ref="A9:B9"/>
    <mergeCell ref="C9:D9"/>
    <mergeCell ref="E9:I9"/>
    <mergeCell ref="L9:Q9"/>
    <mergeCell ref="R9:S9"/>
    <mergeCell ref="A12:I12"/>
    <mergeCell ref="L12:Q12"/>
    <mergeCell ref="R12:S12"/>
    <mergeCell ref="B13:H13"/>
    <mergeCell ref="B14:H14"/>
    <mergeCell ref="B15:H15"/>
    <mergeCell ref="A10:B10"/>
    <mergeCell ref="C10:D10"/>
    <mergeCell ref="E10:I10"/>
    <mergeCell ref="L10:Q10"/>
    <mergeCell ref="R10:S10"/>
    <mergeCell ref="L11:Q11"/>
    <mergeCell ref="R11:S11"/>
    <mergeCell ref="B22:G22"/>
    <mergeCell ref="B23:G23"/>
    <mergeCell ref="B24:G24"/>
    <mergeCell ref="B25:G25"/>
    <mergeCell ref="B26:G26"/>
    <mergeCell ref="B27:G27"/>
    <mergeCell ref="B16:H16"/>
    <mergeCell ref="B17:H17"/>
    <mergeCell ref="A18:I18"/>
    <mergeCell ref="A19:I19"/>
    <mergeCell ref="B20:G20"/>
    <mergeCell ref="B21:G21"/>
    <mergeCell ref="K37:K45"/>
    <mergeCell ref="B38:G38"/>
    <mergeCell ref="B39:G39"/>
    <mergeCell ref="B40:G40"/>
    <mergeCell ref="B41:G41"/>
    <mergeCell ref="B42:G42"/>
    <mergeCell ref="B43:G43"/>
    <mergeCell ref="A28:H28"/>
    <mergeCell ref="A30:I30"/>
    <mergeCell ref="A31:G31"/>
    <mergeCell ref="B32:G32"/>
    <mergeCell ref="B33:G33"/>
    <mergeCell ref="B34:G34"/>
    <mergeCell ref="B44:G44"/>
    <mergeCell ref="B45:G45"/>
    <mergeCell ref="A46:G46"/>
    <mergeCell ref="A47:I47"/>
    <mergeCell ref="A48:G48"/>
    <mergeCell ref="B49:G49"/>
    <mergeCell ref="A35:G35"/>
    <mergeCell ref="A36:I36"/>
    <mergeCell ref="A37:G37"/>
    <mergeCell ref="A56:I56"/>
    <mergeCell ref="A57:H57"/>
    <mergeCell ref="B58:H58"/>
    <mergeCell ref="B59:H59"/>
    <mergeCell ref="B60:H60"/>
    <mergeCell ref="A61:H61"/>
    <mergeCell ref="B50:G50"/>
    <mergeCell ref="B51:G51"/>
    <mergeCell ref="B52:G52"/>
    <mergeCell ref="B53:G53"/>
    <mergeCell ref="A54:H54"/>
    <mergeCell ref="A55:I55"/>
    <mergeCell ref="B68:G68"/>
    <mergeCell ref="B69:G69"/>
    <mergeCell ref="B70:G70"/>
    <mergeCell ref="A71:G71"/>
    <mergeCell ref="A72:I72"/>
    <mergeCell ref="A73:I73"/>
    <mergeCell ref="A62:I62"/>
    <mergeCell ref="A63:I63"/>
    <mergeCell ref="B64:G64"/>
    <mergeCell ref="B65:G65"/>
    <mergeCell ref="B66:G66"/>
    <mergeCell ref="B67:G67"/>
    <mergeCell ref="B80:G80"/>
    <mergeCell ref="A81:G81"/>
    <mergeCell ref="A82:I82"/>
    <mergeCell ref="A83:G83"/>
    <mergeCell ref="B84:G84"/>
    <mergeCell ref="A85:G85"/>
    <mergeCell ref="A74:G74"/>
    <mergeCell ref="B75:G75"/>
    <mergeCell ref="B76:G76"/>
    <mergeCell ref="B77:G77"/>
    <mergeCell ref="B78:G78"/>
    <mergeCell ref="B79:G79"/>
    <mergeCell ref="A92:H92"/>
    <mergeCell ref="A93:I93"/>
    <mergeCell ref="A94:I94"/>
    <mergeCell ref="B95:G95"/>
    <mergeCell ref="B96:G96"/>
    <mergeCell ref="B97:G97"/>
    <mergeCell ref="A86:I86"/>
    <mergeCell ref="A87:I87"/>
    <mergeCell ref="A88:H88"/>
    <mergeCell ref="B89:H89"/>
    <mergeCell ref="B90:H90"/>
    <mergeCell ref="B91:H91"/>
    <mergeCell ref="B104:G104"/>
    <mergeCell ref="B105:G105"/>
    <mergeCell ref="B106:G106"/>
    <mergeCell ref="B107:G107"/>
    <mergeCell ref="B108:G108"/>
    <mergeCell ref="B109:G109"/>
    <mergeCell ref="B98:G98"/>
    <mergeCell ref="B99:G99"/>
    <mergeCell ref="A100:G100"/>
    <mergeCell ref="A101:I101"/>
    <mergeCell ref="A102:I102"/>
    <mergeCell ref="B103:G103"/>
    <mergeCell ref="B117:H117"/>
    <mergeCell ref="B118:H118"/>
    <mergeCell ref="B119:H119"/>
    <mergeCell ref="B120:H120"/>
    <mergeCell ref="B121:H121"/>
    <mergeCell ref="A122:H122"/>
    <mergeCell ref="A110:G110"/>
    <mergeCell ref="B111:I111"/>
    <mergeCell ref="A113:I113"/>
    <mergeCell ref="A114:H114"/>
    <mergeCell ref="B115:H115"/>
    <mergeCell ref="B116:H116"/>
    <mergeCell ref="A127:B127"/>
    <mergeCell ref="C127:D127"/>
    <mergeCell ref="E127:F127"/>
    <mergeCell ref="A128:B128"/>
    <mergeCell ref="C128:D128"/>
    <mergeCell ref="E128:F128"/>
    <mergeCell ref="B124:G124"/>
    <mergeCell ref="A125:B125"/>
    <mergeCell ref="C125:D125"/>
    <mergeCell ref="E125:F125"/>
    <mergeCell ref="A126:B126"/>
    <mergeCell ref="C126:D126"/>
    <mergeCell ref="E126:F126"/>
    <mergeCell ref="A131:B131"/>
    <mergeCell ref="C131:D131"/>
    <mergeCell ref="E131:F131"/>
    <mergeCell ref="A132:H132"/>
    <mergeCell ref="B134:G134"/>
    <mergeCell ref="A135:I135"/>
    <mergeCell ref="A129:B129"/>
    <mergeCell ref="C129:D129"/>
    <mergeCell ref="E129:F129"/>
    <mergeCell ref="A130:B130"/>
    <mergeCell ref="C130:D130"/>
    <mergeCell ref="E130:F130"/>
    <mergeCell ref="A148:F148"/>
    <mergeCell ref="E145:F145"/>
    <mergeCell ref="G145:H145"/>
    <mergeCell ref="E146:F146"/>
    <mergeCell ref="G146:H146"/>
    <mergeCell ref="E147:F147"/>
    <mergeCell ref="G147:H147"/>
    <mergeCell ref="B136:H136"/>
    <mergeCell ref="B137:H137"/>
    <mergeCell ref="B138:H138"/>
    <mergeCell ref="B139:H139"/>
    <mergeCell ref="A140:H140"/>
    <mergeCell ref="A144:C144"/>
    <mergeCell ref="E144:F144"/>
    <mergeCell ref="G144:H144"/>
  </mergeCells>
  <pageMargins left="0.25" right="0.25" top="0.75" bottom="0.75" header="0.3" footer="0.3"/>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27</vt:i4>
      </vt:variant>
    </vt:vector>
  </HeadingPairs>
  <TitlesOfParts>
    <vt:vector size="27" baseType="lpstr">
      <vt:lpstr>ASG INT CAPI</vt:lpstr>
      <vt:lpstr>ASG EXT CAPI</vt:lpstr>
      <vt:lpstr>ASG HOSP CAPI</vt:lpstr>
      <vt:lpstr>ASG BANH CAPI</vt:lpstr>
      <vt:lpstr>ASG ESQU CAPI</vt:lpstr>
      <vt:lpstr>ASG AJARDI CAPI</vt:lpstr>
      <vt:lpstr>ASG INT INTE</vt:lpstr>
      <vt:lpstr>ASG EXTE INT</vt:lpstr>
      <vt:lpstr>ASG BANHE INT</vt:lpstr>
      <vt:lpstr>ASG ESQU INT</vt:lpstr>
      <vt:lpstr>ASG AJARDI INT</vt:lpstr>
      <vt:lpstr>ENCARREGADO</vt:lpstr>
      <vt:lpstr>MOTORISTA</vt:lpstr>
      <vt:lpstr>ASG MUTI 01</vt:lpstr>
      <vt:lpstr>ASG MUTI 02</vt:lpstr>
      <vt:lpstr>KM RODADO</vt:lpstr>
      <vt:lpstr>DESLOC PERNOITE</vt:lpstr>
      <vt:lpstr>DESLOC S PERNOITE</vt:lpstr>
      <vt:lpstr>ASG FACHADA</vt:lpstr>
      <vt:lpstr>MULTIROES</vt:lpstr>
      <vt:lpstr>ANEXO VII</vt:lpstr>
      <vt:lpstr>ANEXO VIII</vt:lpstr>
      <vt:lpstr>UNIFORME</vt:lpstr>
      <vt:lpstr>MATERIAL</vt:lpstr>
      <vt:lpstr>MAT MUT 01</vt:lpstr>
      <vt:lpstr>MAT MUT 02</vt:lpstr>
      <vt:lpstr>Planilha2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dc:creator>
  <cp:lastModifiedBy>licitação</cp:lastModifiedBy>
  <cp:revision>0</cp:revision>
  <cp:lastPrinted>2019-10-17T12:48:22Z</cp:lastPrinted>
  <dcterms:created xsi:type="dcterms:W3CDTF">2010-12-08T17:56:29Z</dcterms:created>
  <dcterms:modified xsi:type="dcterms:W3CDTF">2020-12-23T02:41:18Z</dcterms:modified>
  <dc:language>pt-BR</dc:language>
</cp:coreProperties>
</file>